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040" firstSheet="7" activeTab="8"/>
  </bookViews>
  <sheets>
    <sheet name="На стенд І квартал" sheetId="5" r:id="rId1"/>
    <sheet name="Диаграмма1" sheetId="7" r:id="rId2"/>
    <sheet name="На стенд ІІ квартал_по приходу" sheetId="6" r:id="rId3"/>
    <sheet name="На стенд ІІ квартал с остатками" sheetId="8" r:id="rId4"/>
    <sheet name="На стенд ІІ кварт по приходу2 " sheetId="9" r:id="rId5"/>
    <sheet name="На стенд ІІІ кварт по приходу" sheetId="10" r:id="rId6"/>
    <sheet name="На стенд ІІІ кварт по прихоl_пр" sheetId="11" r:id="rId7"/>
    <sheet name="На стенд за 2018 рік_правильній" sheetId="13" r:id="rId8"/>
    <sheet name="На стенд за1кв 2019 рік" sheetId="14" r:id="rId9"/>
  </sheets>
  <calcPr calcId="144525"/>
</workbook>
</file>

<file path=xl/calcChain.xml><?xml version="1.0" encoding="utf-8"?>
<calcChain xmlns="http://schemas.openxmlformats.org/spreadsheetml/2006/main">
  <c r="J169" i="14" l="1"/>
  <c r="D169" i="14"/>
  <c r="D208" i="14"/>
  <c r="F208" i="14" s="1"/>
  <c r="H208" i="14" l="1"/>
  <c r="J208" i="14"/>
  <c r="C208" i="14" l="1"/>
  <c r="F205" i="14"/>
  <c r="F204" i="14" l="1"/>
  <c r="K204" i="14" s="1"/>
  <c r="F203" i="14"/>
  <c r="K203" i="14" s="1"/>
  <c r="F202" i="14"/>
  <c r="K202" i="14" s="1"/>
  <c r="F201" i="14"/>
  <c r="K201" i="14" s="1"/>
  <c r="F200" i="14"/>
  <c r="K200" i="14" s="1"/>
  <c r="F199" i="14"/>
  <c r="K199" i="14" s="1"/>
  <c r="F198" i="14"/>
  <c r="K198" i="14" s="1"/>
  <c r="F197" i="14"/>
  <c r="K197" i="14" s="1"/>
  <c r="F196" i="14"/>
  <c r="K196" i="14" s="1"/>
  <c r="F195" i="14"/>
  <c r="K195" i="14" s="1"/>
  <c r="F194" i="14"/>
  <c r="K194" i="14" s="1"/>
  <c r="F193" i="14"/>
  <c r="K193" i="14" s="1"/>
  <c r="F192" i="14"/>
  <c r="K192" i="14" s="1"/>
  <c r="F191" i="14"/>
  <c r="K191" i="14" s="1"/>
  <c r="F190" i="14"/>
  <c r="K190" i="14" s="1"/>
  <c r="F189" i="14"/>
  <c r="K189" i="14" s="1"/>
  <c r="F188" i="14"/>
  <c r="K188" i="14" s="1"/>
  <c r="F187" i="14"/>
  <c r="K187" i="14" s="1"/>
  <c r="F186" i="14"/>
  <c r="K186" i="14" s="1"/>
  <c r="F185" i="14"/>
  <c r="K185" i="14" s="1"/>
  <c r="F184" i="14"/>
  <c r="K184" i="14" s="1"/>
  <c r="F183" i="14"/>
  <c r="K183" i="14" s="1"/>
  <c r="F182" i="14"/>
  <c r="K182" i="14" s="1"/>
  <c r="F181" i="14"/>
  <c r="K181" i="14" s="1"/>
  <c r="F180" i="14"/>
  <c r="K180" i="14" s="1"/>
  <c r="F179" i="14"/>
  <c r="K179" i="14" s="1"/>
  <c r="F178" i="14"/>
  <c r="K178" i="14" s="1"/>
  <c r="F177" i="14"/>
  <c r="K177" i="14" s="1"/>
  <c r="F176" i="14"/>
  <c r="K176" i="14" s="1"/>
  <c r="F175" i="14"/>
  <c r="K175" i="14" s="1"/>
  <c r="F174" i="14"/>
  <c r="K174" i="14" s="1"/>
  <c r="F173" i="14"/>
  <c r="K173" i="14" s="1"/>
  <c r="F172" i="14"/>
  <c r="K172" i="14" s="1"/>
  <c r="F171" i="14"/>
  <c r="K171" i="14" s="1"/>
  <c r="F170" i="14"/>
  <c r="K170" i="14" s="1"/>
  <c r="F169" i="14"/>
  <c r="K169" i="14" s="1"/>
  <c r="K208" i="14" s="1"/>
  <c r="F168" i="14"/>
  <c r="K168" i="14" s="1"/>
  <c r="F167" i="14"/>
  <c r="K167" i="14" s="1"/>
  <c r="F166" i="14"/>
  <c r="K166" i="14" s="1"/>
  <c r="F165" i="14"/>
  <c r="K165" i="14" s="1"/>
  <c r="F164" i="14"/>
  <c r="K164" i="14" s="1"/>
  <c r="F163" i="14"/>
  <c r="K163" i="14" s="1"/>
  <c r="F162" i="14"/>
  <c r="K162" i="14" s="1"/>
  <c r="F161" i="14"/>
  <c r="K161" i="14" s="1"/>
  <c r="F160" i="14"/>
  <c r="K160" i="14" s="1"/>
  <c r="F159" i="14"/>
  <c r="K159" i="14" s="1"/>
  <c r="F158" i="14"/>
  <c r="K158" i="14" s="1"/>
  <c r="F157" i="14"/>
  <c r="K157" i="14" s="1"/>
  <c r="F156" i="14"/>
  <c r="K156" i="14" s="1"/>
  <c r="F155" i="14"/>
  <c r="K155" i="14" s="1"/>
  <c r="F154" i="14"/>
  <c r="K154" i="14" s="1"/>
  <c r="F153" i="14"/>
  <c r="K153" i="14" s="1"/>
  <c r="F152" i="14"/>
  <c r="K152" i="14" s="1"/>
  <c r="F151" i="14"/>
  <c r="K151" i="14" s="1"/>
  <c r="F150" i="14"/>
  <c r="K150" i="14" s="1"/>
  <c r="F149" i="14"/>
  <c r="K149" i="14" s="1"/>
  <c r="F148" i="14"/>
  <c r="K148" i="14" s="1"/>
  <c r="F147" i="14"/>
  <c r="K147" i="14" s="1"/>
  <c r="F146" i="14"/>
  <c r="K146" i="14" s="1"/>
  <c r="F145" i="14"/>
  <c r="K145" i="14" s="1"/>
  <c r="F144" i="14"/>
  <c r="K144" i="14" s="1"/>
  <c r="F143" i="14"/>
  <c r="K143" i="14" s="1"/>
  <c r="F142" i="14"/>
  <c r="K142" i="14" s="1"/>
  <c r="F141" i="14"/>
  <c r="K141" i="14" s="1"/>
  <c r="F140" i="14"/>
  <c r="K140" i="14" s="1"/>
  <c r="F139" i="14"/>
  <c r="K139" i="14" s="1"/>
  <c r="F138" i="14"/>
  <c r="K138" i="14" s="1"/>
  <c r="F137" i="14"/>
  <c r="K137" i="14" s="1"/>
  <c r="F136" i="14"/>
  <c r="K136" i="14" s="1"/>
  <c r="F135" i="14"/>
  <c r="F134" i="14"/>
  <c r="K134" i="14" s="1"/>
  <c r="F133" i="14"/>
  <c r="K133" i="14" s="1"/>
  <c r="F132" i="14"/>
  <c r="K132" i="14" s="1"/>
  <c r="F131" i="14"/>
  <c r="K131" i="14" s="1"/>
  <c r="F130" i="14"/>
  <c r="K130" i="14" s="1"/>
  <c r="F129" i="14"/>
  <c r="K129" i="14" s="1"/>
  <c r="F128" i="14"/>
  <c r="F127" i="14"/>
  <c r="K127" i="14" s="1"/>
  <c r="F126" i="14"/>
  <c r="K126" i="14" s="1"/>
  <c r="F125" i="14"/>
  <c r="F124" i="14"/>
  <c r="K124" i="14" s="1"/>
  <c r="F123" i="14"/>
  <c r="K123" i="14" s="1"/>
  <c r="F122" i="14"/>
  <c r="K122" i="14" s="1"/>
  <c r="F121" i="14"/>
  <c r="K121" i="14" s="1"/>
  <c r="F120" i="14"/>
  <c r="K120" i="14" s="1"/>
  <c r="F119" i="14"/>
  <c r="K119" i="14" s="1"/>
  <c r="F118" i="14"/>
  <c r="K118" i="14" s="1"/>
  <c r="F117" i="14"/>
  <c r="K117" i="14" s="1"/>
  <c r="F116" i="14"/>
  <c r="K116" i="14" s="1"/>
  <c r="F115" i="14"/>
  <c r="K115" i="14" s="1"/>
  <c r="J92" i="14" l="1"/>
  <c r="D92" i="14"/>
  <c r="F74" i="14" l="1"/>
  <c r="F107" i="14" l="1"/>
  <c r="F106" i="14"/>
  <c r="F105" i="14"/>
  <c r="F104" i="14"/>
  <c r="F103" i="14"/>
  <c r="F102" i="14"/>
  <c r="F101" i="14"/>
  <c r="F100" i="14"/>
  <c r="F99" i="14"/>
  <c r="F98" i="14"/>
  <c r="F96" i="14"/>
  <c r="F95" i="14"/>
  <c r="F80" i="14"/>
  <c r="F71" i="14"/>
  <c r="F69" i="14"/>
  <c r="F66" i="14"/>
  <c r="F62" i="14"/>
  <c r="F57" i="14"/>
  <c r="F50" i="14" l="1"/>
  <c r="F49" i="14"/>
  <c r="F48" i="14"/>
  <c r="F47" i="14"/>
  <c r="F46" i="14"/>
  <c r="F45" i="14"/>
  <c r="F44" i="14"/>
  <c r="F43" i="14"/>
  <c r="F42" i="14"/>
  <c r="F41" i="14"/>
  <c r="F40" i="14"/>
  <c r="F39" i="14"/>
  <c r="F38" i="14"/>
  <c r="F36" i="14"/>
  <c r="F35" i="14"/>
  <c r="F34" i="14"/>
  <c r="F33" i="14"/>
  <c r="F32" i="14"/>
  <c r="F31" i="14"/>
  <c r="F30" i="14"/>
  <c r="F29" i="14"/>
  <c r="F28" i="14"/>
  <c r="F27" i="14"/>
  <c r="F26" i="14"/>
  <c r="F37" i="14"/>
  <c r="F25" i="14"/>
  <c r="F24" i="14"/>
  <c r="F23" i="14"/>
  <c r="F22" i="14"/>
  <c r="F112" i="14"/>
  <c r="F111" i="14"/>
  <c r="F110" i="14"/>
  <c r="F109" i="14"/>
  <c r="F108" i="14"/>
  <c r="F97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79" i="14"/>
  <c r="F78" i="14"/>
  <c r="F77" i="14"/>
  <c r="F76" i="14"/>
  <c r="F75" i="14"/>
  <c r="F70" i="14"/>
  <c r="F68" i="14"/>
  <c r="F67" i="14"/>
  <c r="F65" i="14"/>
  <c r="F64" i="14"/>
  <c r="F63" i="14"/>
  <c r="F61" i="14"/>
  <c r="F60" i="14"/>
  <c r="F59" i="14"/>
  <c r="F58" i="14"/>
  <c r="F56" i="14"/>
  <c r="F55" i="14"/>
  <c r="F54" i="14"/>
  <c r="F53" i="14"/>
  <c r="F21" i="14"/>
  <c r="F20" i="14"/>
  <c r="F19" i="14"/>
  <c r="F17" i="14"/>
  <c r="F16" i="14"/>
  <c r="F15" i="14"/>
  <c r="F13" i="14"/>
  <c r="F14" i="14" l="1"/>
  <c r="K306" i="13"/>
  <c r="C429" i="13" l="1"/>
  <c r="D425" i="13"/>
  <c r="F425" i="13" s="1"/>
  <c r="K425" i="13" s="1"/>
  <c r="K424" i="13"/>
  <c r="K423" i="13"/>
  <c r="K422" i="13"/>
  <c r="K421" i="13"/>
  <c r="K420" i="13"/>
  <c r="K419" i="13"/>
  <c r="K418" i="13"/>
  <c r="K417" i="13"/>
  <c r="K416" i="13"/>
  <c r="K415" i="13"/>
  <c r="K414" i="13"/>
  <c r="K413" i="13"/>
  <c r="K412" i="13"/>
  <c r="K411" i="13"/>
  <c r="K410" i="13"/>
  <c r="K409" i="13"/>
  <c r="K408" i="13"/>
  <c r="K407" i="13"/>
  <c r="K406" i="13"/>
  <c r="K405" i="13"/>
  <c r="K404" i="13"/>
  <c r="K403" i="13"/>
  <c r="K402" i="13"/>
  <c r="K401" i="13"/>
  <c r="K400" i="13"/>
  <c r="K399" i="13"/>
  <c r="K398" i="13"/>
  <c r="K397" i="13"/>
  <c r="K396" i="13"/>
  <c r="K395" i="13"/>
  <c r="K394" i="13"/>
  <c r="K393" i="13"/>
  <c r="K392" i="13"/>
  <c r="K391" i="13"/>
  <c r="K390" i="13"/>
  <c r="K389" i="13"/>
  <c r="K388" i="13"/>
  <c r="K387" i="13"/>
  <c r="K386" i="13"/>
  <c r="K385" i="13"/>
  <c r="K384" i="13"/>
  <c r="K383" i="13"/>
  <c r="K382" i="13"/>
  <c r="K381" i="13"/>
  <c r="K380" i="13"/>
  <c r="K379" i="13"/>
  <c r="K378" i="13"/>
  <c r="K377" i="13"/>
  <c r="K376" i="13"/>
  <c r="K375" i="13"/>
  <c r="K374" i="13"/>
  <c r="K373" i="13"/>
  <c r="K372" i="13"/>
  <c r="K348" i="13"/>
  <c r="D348" i="13"/>
  <c r="F348" i="13" s="1"/>
  <c r="K347" i="13"/>
  <c r="D347" i="13"/>
  <c r="F347" i="13" s="1"/>
  <c r="F346" i="13"/>
  <c r="K345" i="13"/>
  <c r="D345" i="13"/>
  <c r="F345" i="13" s="1"/>
  <c r="J344" i="13"/>
  <c r="F344" i="13"/>
  <c r="D343" i="13"/>
  <c r="F343" i="13" s="1"/>
  <c r="K342" i="13"/>
  <c r="J342" i="13"/>
  <c r="D342" i="13"/>
  <c r="F342" i="13" s="1"/>
  <c r="F341" i="13"/>
  <c r="J340" i="13"/>
  <c r="F340" i="13"/>
  <c r="D339" i="13"/>
  <c r="F339" i="13" s="1"/>
  <c r="D338" i="13"/>
  <c r="F338" i="13" s="1"/>
  <c r="F337" i="13"/>
  <c r="F336" i="13"/>
  <c r="J335" i="13"/>
  <c r="D335" i="13"/>
  <c r="F335" i="13" s="1"/>
  <c r="D334" i="13"/>
  <c r="F334" i="13" s="1"/>
  <c r="J333" i="13"/>
  <c r="D333" i="13"/>
  <c r="F333" i="13" s="1"/>
  <c r="K332" i="13"/>
  <c r="D332" i="13"/>
  <c r="F332" i="13" s="1"/>
  <c r="F331" i="13"/>
  <c r="K330" i="13"/>
  <c r="J330" i="13"/>
  <c r="D330" i="13"/>
  <c r="F330" i="13" s="1"/>
  <c r="K329" i="13"/>
  <c r="D329" i="13"/>
  <c r="F329" i="13" s="1"/>
  <c r="K328" i="13"/>
  <c r="D328" i="13"/>
  <c r="F328" i="13" s="1"/>
  <c r="F327" i="13"/>
  <c r="K326" i="13"/>
  <c r="J326" i="13"/>
  <c r="D326" i="13"/>
  <c r="F326" i="13" s="1"/>
  <c r="K325" i="13"/>
  <c r="J325" i="13"/>
  <c r="D325" i="13"/>
  <c r="F325" i="13" s="1"/>
  <c r="K324" i="13"/>
  <c r="J324" i="13"/>
  <c r="D324" i="13"/>
  <c r="F324" i="13" s="1"/>
  <c r="F323" i="13"/>
  <c r="K322" i="13"/>
  <c r="J322" i="13"/>
  <c r="D322" i="13"/>
  <c r="F322" i="13" s="1"/>
  <c r="K321" i="13"/>
  <c r="F321" i="13"/>
  <c r="J320" i="13"/>
  <c r="D320" i="13"/>
  <c r="F320" i="13" s="1"/>
  <c r="D319" i="13"/>
  <c r="F319" i="13" s="1"/>
  <c r="K318" i="13"/>
  <c r="D318" i="13"/>
  <c r="F318" i="13" s="1"/>
  <c r="J317" i="13"/>
  <c r="D317" i="13"/>
  <c r="F317" i="13" s="1"/>
  <c r="K316" i="13"/>
  <c r="D316" i="13"/>
  <c r="F316" i="13" s="1"/>
  <c r="J315" i="13"/>
  <c r="D315" i="13"/>
  <c r="F315" i="13" s="1"/>
  <c r="K314" i="13"/>
  <c r="D314" i="13"/>
  <c r="F314" i="13" s="1"/>
  <c r="F313" i="13"/>
  <c r="D312" i="13"/>
  <c r="F312" i="13" s="1"/>
  <c r="J311" i="13"/>
  <c r="D311" i="13"/>
  <c r="F311" i="13" s="1"/>
  <c r="D310" i="13"/>
  <c r="F310" i="13" s="1"/>
  <c r="K309" i="13"/>
  <c r="D309" i="13"/>
  <c r="F309" i="13" s="1"/>
  <c r="K308" i="13"/>
  <c r="D308" i="13"/>
  <c r="F308" i="13" s="1"/>
  <c r="F307" i="13"/>
  <c r="J306" i="13"/>
  <c r="F306" i="13"/>
  <c r="K305" i="13"/>
  <c r="D305" i="13"/>
  <c r="F305" i="13" s="1"/>
  <c r="K304" i="13"/>
  <c r="J304" i="13"/>
  <c r="D304" i="13"/>
  <c r="F304" i="13" s="1"/>
  <c r="K303" i="13"/>
  <c r="J303" i="13"/>
  <c r="D303" i="13"/>
  <c r="F303" i="13" s="1"/>
  <c r="D302" i="13"/>
  <c r="F302" i="13" s="1"/>
  <c r="J301" i="13"/>
  <c r="D301" i="13"/>
  <c r="F301" i="13" s="1"/>
  <c r="J300" i="13"/>
  <c r="D300" i="13"/>
  <c r="F300" i="13" s="1"/>
  <c r="D299" i="13"/>
  <c r="F299" i="13" s="1"/>
  <c r="K298" i="13"/>
  <c r="J298" i="13"/>
  <c r="D298" i="13"/>
  <c r="F298" i="13" s="1"/>
  <c r="K297" i="13"/>
  <c r="J297" i="13"/>
  <c r="D297" i="13"/>
  <c r="F297" i="13" s="1"/>
  <c r="F296" i="13"/>
  <c r="K295" i="13"/>
  <c r="D295" i="13"/>
  <c r="F295" i="13" s="1"/>
  <c r="K294" i="13"/>
  <c r="F294" i="13"/>
  <c r="J293" i="13"/>
  <c r="D293" i="13"/>
  <c r="F293" i="13" s="1"/>
  <c r="J292" i="13"/>
  <c r="D292" i="13"/>
  <c r="F292" i="13" s="1"/>
  <c r="K291" i="13"/>
  <c r="D291" i="13"/>
  <c r="F291" i="13" s="1"/>
  <c r="J290" i="13"/>
  <c r="D290" i="13"/>
  <c r="F290" i="13" s="1"/>
  <c r="K289" i="13"/>
  <c r="D289" i="13"/>
  <c r="F289" i="13" s="1"/>
  <c r="K288" i="13"/>
  <c r="D288" i="13"/>
  <c r="F288" i="13" s="1"/>
  <c r="J287" i="13"/>
  <c r="D287" i="13"/>
  <c r="F287" i="13" s="1"/>
  <c r="F286" i="13"/>
  <c r="K285" i="13"/>
  <c r="D285" i="13"/>
  <c r="F285" i="13" s="1"/>
  <c r="K284" i="13"/>
  <c r="J284" i="13"/>
  <c r="D284" i="13"/>
  <c r="F284" i="13" s="1"/>
  <c r="J283" i="13"/>
  <c r="D283" i="13"/>
  <c r="F283" i="13" s="1"/>
  <c r="F282" i="13"/>
  <c r="F281" i="13"/>
  <c r="F280" i="13"/>
  <c r="F279" i="13"/>
  <c r="F278" i="13"/>
  <c r="J277" i="13"/>
  <c r="D277" i="13"/>
  <c r="F277" i="13" s="1"/>
  <c r="F276" i="13"/>
  <c r="F275" i="13"/>
  <c r="J274" i="13"/>
  <c r="D274" i="13"/>
  <c r="F274" i="13" s="1"/>
  <c r="F273" i="13"/>
  <c r="F272" i="13"/>
  <c r="F271" i="13"/>
  <c r="F270" i="13"/>
  <c r="J269" i="13"/>
  <c r="D269" i="13"/>
  <c r="F269" i="13" s="1"/>
  <c r="F268" i="13"/>
  <c r="F267" i="13"/>
  <c r="F266" i="13"/>
  <c r="F265" i="13"/>
  <c r="F264" i="13"/>
  <c r="F263" i="13"/>
  <c r="F262" i="13"/>
  <c r="F261" i="13"/>
  <c r="J260" i="13"/>
  <c r="D260" i="13"/>
  <c r="F260" i="13" s="1"/>
  <c r="F259" i="13"/>
  <c r="J258" i="13"/>
  <c r="F258" i="13"/>
  <c r="F257" i="13"/>
  <c r="F256" i="13"/>
  <c r="F255" i="13"/>
  <c r="F254" i="13"/>
  <c r="F253" i="13"/>
  <c r="F252" i="13"/>
  <c r="F251" i="13"/>
  <c r="F250" i="13"/>
  <c r="J249" i="13"/>
  <c r="D249" i="13"/>
  <c r="F249" i="13" s="1"/>
  <c r="F248" i="13"/>
  <c r="K247" i="13"/>
  <c r="J247" i="13"/>
  <c r="D247" i="13"/>
  <c r="F247" i="13" s="1"/>
  <c r="J246" i="13"/>
  <c r="F246" i="13"/>
  <c r="K245" i="13"/>
  <c r="F245" i="13"/>
  <c r="F244" i="13"/>
  <c r="F243" i="13"/>
  <c r="J242" i="13"/>
  <c r="D242" i="13"/>
  <c r="F242" i="13" s="1"/>
  <c r="F241" i="13"/>
  <c r="F240" i="13"/>
  <c r="J239" i="13"/>
  <c r="F239" i="13"/>
  <c r="J238" i="13"/>
  <c r="D238" i="13"/>
  <c r="F238" i="13" s="1"/>
  <c r="F237" i="13"/>
  <c r="F236" i="13"/>
  <c r="J235" i="13"/>
  <c r="D235" i="13"/>
  <c r="F235" i="13" s="1"/>
  <c r="D233" i="13"/>
  <c r="F233" i="13" s="1"/>
  <c r="F232" i="13"/>
  <c r="F231" i="13"/>
  <c r="F230" i="13"/>
  <c r="K229" i="13"/>
  <c r="D229" i="13"/>
  <c r="F229" i="13" s="1"/>
  <c r="F228" i="13"/>
  <c r="J227" i="13"/>
  <c r="D227" i="13"/>
  <c r="F227" i="13" s="1"/>
  <c r="F226" i="13"/>
  <c r="F225" i="13"/>
  <c r="F224" i="13"/>
  <c r="K223" i="13"/>
  <c r="J223" i="13"/>
  <c r="D223" i="13"/>
  <c r="F223" i="13" s="1"/>
  <c r="F222" i="13"/>
  <c r="F221" i="13"/>
  <c r="F220" i="13"/>
  <c r="K219" i="13"/>
  <c r="J219" i="13"/>
  <c r="D219" i="13"/>
  <c r="F219" i="13" s="1"/>
  <c r="K218" i="13"/>
  <c r="D218" i="13"/>
  <c r="F218" i="13" s="1"/>
  <c r="K217" i="13"/>
  <c r="D217" i="13"/>
  <c r="F217" i="13" s="1"/>
  <c r="K216" i="13"/>
  <c r="J216" i="13"/>
  <c r="D216" i="13"/>
  <c r="F216" i="13" s="1"/>
  <c r="F215" i="13"/>
  <c r="F214" i="13"/>
  <c r="F213" i="13"/>
  <c r="F212" i="13"/>
  <c r="F211" i="13"/>
  <c r="F210" i="13"/>
  <c r="F209" i="13"/>
  <c r="F208" i="13"/>
  <c r="J207" i="13"/>
  <c r="D207" i="13"/>
  <c r="F207" i="13" s="1"/>
  <c r="F206" i="13"/>
  <c r="F205" i="13"/>
  <c r="J204" i="13"/>
  <c r="D204" i="13"/>
  <c r="F204" i="13" s="1"/>
  <c r="F203" i="13"/>
  <c r="D202" i="13"/>
  <c r="F202" i="13" s="1"/>
  <c r="D201" i="13"/>
  <c r="F201" i="13" s="1"/>
  <c r="D200" i="13"/>
  <c r="F200" i="13" s="1"/>
  <c r="F199" i="13"/>
  <c r="D198" i="13"/>
  <c r="F198" i="13" s="1"/>
  <c r="F197" i="13"/>
  <c r="D196" i="13"/>
  <c r="F196" i="13" s="1"/>
  <c r="F194" i="13"/>
  <c r="F193" i="13"/>
  <c r="F192" i="13"/>
  <c r="F191" i="13"/>
  <c r="F190" i="13"/>
  <c r="J189" i="13"/>
  <c r="D189" i="13"/>
  <c r="F189" i="13" s="1"/>
  <c r="F188" i="13"/>
  <c r="F186" i="13"/>
  <c r="F185" i="13"/>
  <c r="F184" i="13"/>
  <c r="F183" i="13"/>
  <c r="F182" i="13"/>
  <c r="D181" i="13"/>
  <c r="F181" i="13" s="1"/>
  <c r="F180" i="13"/>
  <c r="F179" i="13"/>
  <c r="D178" i="13"/>
  <c r="F178" i="13" s="1"/>
  <c r="F177" i="13"/>
  <c r="F176" i="13"/>
  <c r="F175" i="13"/>
  <c r="D174" i="13"/>
  <c r="F174" i="13" s="1"/>
  <c r="F173" i="13"/>
  <c r="F172" i="13"/>
  <c r="F171" i="13"/>
  <c r="F170" i="13"/>
  <c r="D169" i="13"/>
  <c r="F169" i="13" s="1"/>
  <c r="J168" i="13"/>
  <c r="F168" i="13"/>
  <c r="F167" i="13"/>
  <c r="F166" i="13"/>
  <c r="F165" i="13"/>
  <c r="F164" i="13"/>
  <c r="F163" i="13"/>
  <c r="J162" i="13"/>
  <c r="D162" i="13"/>
  <c r="F162" i="13" s="1"/>
  <c r="F161" i="13"/>
  <c r="D160" i="13"/>
  <c r="F159" i="13"/>
  <c r="F158" i="13"/>
  <c r="F157" i="13"/>
  <c r="J156" i="13"/>
  <c r="D156" i="13"/>
  <c r="F156" i="13" s="1"/>
  <c r="F155" i="13"/>
  <c r="J154" i="13"/>
  <c r="D154" i="13"/>
  <c r="F154" i="13" s="1"/>
  <c r="F153" i="13"/>
  <c r="J152" i="13"/>
  <c r="D152" i="13"/>
  <c r="F152" i="13" s="1"/>
  <c r="J151" i="13"/>
  <c r="D151" i="13"/>
  <c r="F151" i="13" s="1"/>
  <c r="K150" i="13"/>
  <c r="J150" i="13"/>
  <c r="D150" i="13"/>
  <c r="F150" i="13" s="1"/>
  <c r="K149" i="13"/>
  <c r="J149" i="13"/>
  <c r="D149" i="13"/>
  <c r="F149" i="13" s="1"/>
  <c r="F148" i="13"/>
  <c r="K147" i="13"/>
  <c r="J147" i="13"/>
  <c r="D147" i="13"/>
  <c r="F147" i="13" s="1"/>
  <c r="F146" i="13"/>
  <c r="F145" i="13"/>
  <c r="F144" i="13"/>
  <c r="F143" i="13"/>
  <c r="F142" i="13"/>
  <c r="F141" i="13"/>
  <c r="F140" i="13"/>
  <c r="K139" i="13"/>
  <c r="D139" i="13"/>
  <c r="F139" i="13" s="1"/>
  <c r="K138" i="13"/>
  <c r="J138" i="13"/>
  <c r="F138" i="13"/>
  <c r="D138" i="13"/>
  <c r="J137" i="13"/>
  <c r="D137" i="13"/>
  <c r="F137" i="13" s="1"/>
  <c r="J136" i="13"/>
  <c r="D136" i="13"/>
  <c r="F136" i="13" s="1"/>
  <c r="F135" i="13"/>
  <c r="F134" i="13"/>
  <c r="F133" i="13"/>
  <c r="F132" i="13"/>
  <c r="F131" i="13"/>
  <c r="F130" i="13"/>
  <c r="J128" i="13"/>
  <c r="D128" i="13"/>
  <c r="F128" i="13" s="1"/>
  <c r="F127" i="13"/>
  <c r="F126" i="13"/>
  <c r="F125" i="13"/>
  <c r="F124" i="13"/>
  <c r="F123" i="13"/>
  <c r="F122" i="13"/>
  <c r="F121" i="13"/>
  <c r="F120" i="13"/>
  <c r="F119" i="13"/>
  <c r="H118" i="13"/>
  <c r="H429" i="13" s="1"/>
  <c r="F115" i="13"/>
  <c r="F113" i="13"/>
  <c r="K112" i="13"/>
  <c r="J112" i="13"/>
  <c r="F112" i="13"/>
  <c r="K111" i="13"/>
  <c r="J111" i="13"/>
  <c r="D111" i="13"/>
  <c r="F111" i="13" s="1"/>
  <c r="K110" i="13"/>
  <c r="J110" i="13"/>
  <c r="F110" i="13"/>
  <c r="J109" i="13"/>
  <c r="F109" i="13"/>
  <c r="D108" i="13"/>
  <c r="F108" i="13" s="1"/>
  <c r="K107" i="13"/>
  <c r="J107" i="13"/>
  <c r="D107" i="13"/>
  <c r="F107" i="13" s="1"/>
  <c r="K106" i="13"/>
  <c r="J106" i="13"/>
  <c r="D106" i="13"/>
  <c r="F106" i="13" s="1"/>
  <c r="F105" i="13"/>
  <c r="K104" i="13"/>
  <c r="J104" i="13"/>
  <c r="D104" i="13"/>
  <c r="F104" i="13" s="1"/>
  <c r="K103" i="13"/>
  <c r="J103" i="13"/>
  <c r="F103" i="13"/>
  <c r="K102" i="13"/>
  <c r="D102" i="13"/>
  <c r="F102" i="13" s="1"/>
  <c r="F101" i="13"/>
  <c r="K100" i="13"/>
  <c r="D100" i="13"/>
  <c r="F100" i="13" s="1"/>
  <c r="F99" i="13"/>
  <c r="F98" i="13"/>
  <c r="K97" i="13"/>
  <c r="J97" i="13"/>
  <c r="D97" i="13"/>
  <c r="F97" i="13" s="1"/>
  <c r="J96" i="13"/>
  <c r="F96" i="13"/>
  <c r="F95" i="13"/>
  <c r="J94" i="13"/>
  <c r="D94" i="13"/>
  <c r="F94" i="13" s="1"/>
  <c r="F93" i="13"/>
  <c r="J92" i="13"/>
  <c r="D92" i="13"/>
  <c r="F92" i="13" s="1"/>
  <c r="F91" i="13"/>
  <c r="K90" i="13"/>
  <c r="F90" i="13"/>
  <c r="D89" i="13"/>
  <c r="F89" i="13" s="1"/>
  <c r="F88" i="13"/>
  <c r="K87" i="13"/>
  <c r="J87" i="13"/>
  <c r="F87" i="13"/>
  <c r="F86" i="13"/>
  <c r="K85" i="13"/>
  <c r="D85" i="13"/>
  <c r="F85" i="13" s="1"/>
  <c r="K84" i="13"/>
  <c r="D84" i="13"/>
  <c r="F84" i="13" s="1"/>
  <c r="K83" i="13"/>
  <c r="D83" i="13"/>
  <c r="F83" i="13" s="1"/>
  <c r="F82" i="13"/>
  <c r="F81" i="13"/>
  <c r="K80" i="13"/>
  <c r="J80" i="13"/>
  <c r="D80" i="13"/>
  <c r="F80" i="13" s="1"/>
  <c r="D79" i="13"/>
  <c r="F79" i="13" s="1"/>
  <c r="K78" i="13"/>
  <c r="D78" i="13"/>
  <c r="F78" i="13" s="1"/>
  <c r="J77" i="13"/>
  <c r="D77" i="13"/>
  <c r="F77" i="13" s="1"/>
  <c r="J76" i="13"/>
  <c r="D76" i="13"/>
  <c r="F76" i="13" s="1"/>
  <c r="J75" i="13"/>
  <c r="D75" i="13"/>
  <c r="F75" i="13" s="1"/>
  <c r="J74" i="13"/>
  <c r="F74" i="13"/>
  <c r="D73" i="13"/>
  <c r="F73" i="13" s="1"/>
  <c r="F72" i="13"/>
  <c r="J71" i="13"/>
  <c r="D71" i="13"/>
  <c r="F71" i="13" s="1"/>
  <c r="D70" i="13"/>
  <c r="F70" i="13" s="1"/>
  <c r="D69" i="13"/>
  <c r="F69" i="13" s="1"/>
  <c r="K68" i="13"/>
  <c r="D68" i="13"/>
  <c r="F68" i="13" s="1"/>
  <c r="K67" i="13"/>
  <c r="D67" i="13"/>
  <c r="F67" i="13" s="1"/>
  <c r="K66" i="13"/>
  <c r="J66" i="13"/>
  <c r="D66" i="13"/>
  <c r="F66" i="13" s="1"/>
  <c r="K65" i="13"/>
  <c r="J65" i="13"/>
  <c r="D65" i="13"/>
  <c r="F65" i="13" s="1"/>
  <c r="K64" i="13"/>
  <c r="J64" i="13"/>
  <c r="D64" i="13"/>
  <c r="F64" i="13" s="1"/>
  <c r="K63" i="13"/>
  <c r="D63" i="13"/>
  <c r="F63" i="13" s="1"/>
  <c r="K62" i="13"/>
  <c r="D62" i="13"/>
  <c r="F62" i="13" s="1"/>
  <c r="F61" i="13"/>
  <c r="J60" i="13"/>
  <c r="D60" i="13"/>
  <c r="F60" i="13" s="1"/>
  <c r="F59" i="13"/>
  <c r="J58" i="13"/>
  <c r="D58" i="13"/>
  <c r="F58" i="13" s="1"/>
  <c r="K57" i="13"/>
  <c r="J57" i="13"/>
  <c r="D57" i="13"/>
  <c r="F57" i="13" s="1"/>
  <c r="K56" i="13"/>
  <c r="J56" i="13"/>
  <c r="D56" i="13"/>
  <c r="F56" i="13" s="1"/>
  <c r="J55" i="13"/>
  <c r="D55" i="13"/>
  <c r="F55" i="13" s="1"/>
  <c r="K54" i="13"/>
  <c r="F54" i="13"/>
  <c r="F53" i="13"/>
  <c r="K52" i="13"/>
  <c r="J52" i="13"/>
  <c r="F52" i="13"/>
  <c r="J51" i="13"/>
  <c r="D51" i="13"/>
  <c r="F51" i="13" s="1"/>
  <c r="K50" i="13"/>
  <c r="J50" i="13"/>
  <c r="D50" i="13"/>
  <c r="F50" i="13" s="1"/>
  <c r="K49" i="13"/>
  <c r="J49" i="13"/>
  <c r="D49" i="13"/>
  <c r="F49" i="13" s="1"/>
  <c r="F48" i="13"/>
  <c r="F47" i="13"/>
  <c r="K46" i="13"/>
  <c r="J46" i="13"/>
  <c r="F46" i="13"/>
  <c r="F45" i="13"/>
  <c r="K44" i="13"/>
  <c r="J44" i="13"/>
  <c r="D44" i="13"/>
  <c r="F44" i="13" s="1"/>
  <c r="F43" i="13"/>
  <c r="F42" i="13"/>
  <c r="F41" i="13"/>
  <c r="F40" i="13"/>
  <c r="F39" i="13"/>
  <c r="F38" i="13"/>
  <c r="J37" i="13"/>
  <c r="D37" i="13"/>
  <c r="F37" i="13" s="1"/>
  <c r="J36" i="13"/>
  <c r="D36" i="13"/>
  <c r="F36" i="13" s="1"/>
  <c r="F35" i="13"/>
  <c r="F34" i="13"/>
  <c r="J33" i="13"/>
  <c r="D33" i="13"/>
  <c r="F33" i="13" s="1"/>
  <c r="J32" i="13"/>
  <c r="D32" i="13"/>
  <c r="F32" i="13" s="1"/>
  <c r="J31" i="13"/>
  <c r="D31" i="13"/>
  <c r="F31" i="13" s="1"/>
  <c r="J30" i="13"/>
  <c r="D30" i="13"/>
  <c r="F30" i="13" s="1"/>
  <c r="J29" i="13"/>
  <c r="D29" i="13"/>
  <c r="F29" i="13" s="1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J14" i="13"/>
  <c r="D14" i="13"/>
  <c r="F14" i="13" s="1"/>
  <c r="F13" i="13"/>
  <c r="K429" i="13" l="1"/>
  <c r="J429" i="13"/>
  <c r="D429" i="13"/>
  <c r="F429" i="13" s="1"/>
  <c r="C285" i="10" l="1"/>
  <c r="F282" i="10"/>
  <c r="C297" i="11" l="1"/>
  <c r="F283" i="11"/>
  <c r="F282" i="11"/>
  <c r="F281" i="11"/>
  <c r="F280" i="11"/>
  <c r="J279" i="11"/>
  <c r="D279" i="11"/>
  <c r="F279" i="11" s="1"/>
  <c r="F278" i="11"/>
  <c r="F277" i="11"/>
  <c r="J276" i="11"/>
  <c r="D276" i="11"/>
  <c r="F276" i="11" s="1"/>
  <c r="F275" i="11"/>
  <c r="F274" i="11"/>
  <c r="F273" i="11"/>
  <c r="F272" i="11"/>
  <c r="J271" i="11"/>
  <c r="D271" i="11"/>
  <c r="F271" i="11" s="1"/>
  <c r="F270" i="11"/>
  <c r="F269" i="11"/>
  <c r="F268" i="11"/>
  <c r="F267" i="11"/>
  <c r="F266" i="11"/>
  <c r="F265" i="11"/>
  <c r="F264" i="11"/>
  <c r="F263" i="11"/>
  <c r="J262" i="11"/>
  <c r="D262" i="11"/>
  <c r="F262" i="11" s="1"/>
  <c r="F261" i="11"/>
  <c r="J260" i="11"/>
  <c r="F260" i="11"/>
  <c r="F259" i="11"/>
  <c r="F258" i="11"/>
  <c r="F257" i="11"/>
  <c r="F256" i="11"/>
  <c r="F255" i="11"/>
  <c r="F254" i="11"/>
  <c r="F253" i="11"/>
  <c r="F252" i="11"/>
  <c r="J251" i="11"/>
  <c r="D251" i="11"/>
  <c r="F251" i="11" s="1"/>
  <c r="F250" i="11"/>
  <c r="K249" i="11"/>
  <c r="J249" i="11"/>
  <c r="D249" i="11"/>
  <c r="F249" i="11" s="1"/>
  <c r="J248" i="11"/>
  <c r="F248" i="11"/>
  <c r="K247" i="11"/>
  <c r="F247" i="11"/>
  <c r="F246" i="11"/>
  <c r="F245" i="11"/>
  <c r="J244" i="11"/>
  <c r="D244" i="11"/>
  <c r="F244" i="11" s="1"/>
  <c r="F243" i="11"/>
  <c r="F242" i="11"/>
  <c r="J241" i="11"/>
  <c r="F241" i="11"/>
  <c r="J240" i="11"/>
  <c r="D240" i="11"/>
  <c r="F240" i="11" s="1"/>
  <c r="F239" i="11"/>
  <c r="F238" i="11"/>
  <c r="J237" i="11"/>
  <c r="D237" i="11"/>
  <c r="F237" i="11" s="1"/>
  <c r="D235" i="11"/>
  <c r="F235" i="11" s="1"/>
  <c r="F234" i="11"/>
  <c r="F233" i="11"/>
  <c r="F232" i="11"/>
  <c r="K231" i="11"/>
  <c r="D231" i="11"/>
  <c r="F231" i="11" s="1"/>
  <c r="F230" i="11"/>
  <c r="J229" i="11"/>
  <c r="D229" i="11"/>
  <c r="F229" i="11" s="1"/>
  <c r="F228" i="11"/>
  <c r="F227" i="11"/>
  <c r="F226" i="11"/>
  <c r="K225" i="11"/>
  <c r="J225" i="11"/>
  <c r="D225" i="11"/>
  <c r="F225" i="11" s="1"/>
  <c r="F224" i="11"/>
  <c r="F223" i="11"/>
  <c r="F222" i="11"/>
  <c r="F221" i="11"/>
  <c r="K220" i="11"/>
  <c r="J220" i="11"/>
  <c r="D220" i="11"/>
  <c r="F220" i="11" s="1"/>
  <c r="K219" i="11"/>
  <c r="D219" i="11"/>
  <c r="F219" i="11" s="1"/>
  <c r="K218" i="11"/>
  <c r="D218" i="11"/>
  <c r="F218" i="11" s="1"/>
  <c r="K217" i="11"/>
  <c r="J217" i="11"/>
  <c r="D217" i="11"/>
  <c r="F217" i="11" s="1"/>
  <c r="F216" i="11"/>
  <c r="F215" i="11"/>
  <c r="F214" i="11"/>
  <c r="F213" i="11"/>
  <c r="F212" i="11"/>
  <c r="F211" i="11"/>
  <c r="F210" i="11"/>
  <c r="F209" i="11"/>
  <c r="F208" i="11"/>
  <c r="J207" i="11"/>
  <c r="D207" i="11"/>
  <c r="F207" i="11" s="1"/>
  <c r="F206" i="11"/>
  <c r="F205" i="11"/>
  <c r="J204" i="11"/>
  <c r="D204" i="11"/>
  <c r="F204" i="11" s="1"/>
  <c r="F203" i="11"/>
  <c r="D202" i="11"/>
  <c r="F202" i="11" s="1"/>
  <c r="D201" i="11"/>
  <c r="F201" i="11" s="1"/>
  <c r="D200" i="11"/>
  <c r="F200" i="11" s="1"/>
  <c r="F199" i="11"/>
  <c r="D198" i="11"/>
  <c r="F198" i="11" s="1"/>
  <c r="F197" i="11"/>
  <c r="D196" i="11"/>
  <c r="F196" i="11" s="1"/>
  <c r="F194" i="11"/>
  <c r="F193" i="11"/>
  <c r="F192" i="11"/>
  <c r="F191" i="11"/>
  <c r="F190" i="11"/>
  <c r="J189" i="11"/>
  <c r="D189" i="11"/>
  <c r="F189" i="11" s="1"/>
  <c r="F188" i="11"/>
  <c r="F186" i="11"/>
  <c r="F185" i="11"/>
  <c r="F184" i="11"/>
  <c r="F183" i="11"/>
  <c r="F182" i="11"/>
  <c r="D181" i="11"/>
  <c r="F181" i="11" s="1"/>
  <c r="F180" i="11"/>
  <c r="F179" i="11"/>
  <c r="D178" i="11"/>
  <c r="F178" i="11" s="1"/>
  <c r="F177" i="11"/>
  <c r="F176" i="11"/>
  <c r="F175" i="11"/>
  <c r="D174" i="11"/>
  <c r="F174" i="11" s="1"/>
  <c r="F173" i="11"/>
  <c r="F172" i="11"/>
  <c r="F171" i="11"/>
  <c r="F170" i="11"/>
  <c r="D169" i="11"/>
  <c r="F169" i="11" s="1"/>
  <c r="J168" i="11"/>
  <c r="F168" i="11"/>
  <c r="F167" i="11"/>
  <c r="F166" i="11"/>
  <c r="F165" i="11"/>
  <c r="F164" i="11"/>
  <c r="F163" i="11"/>
  <c r="J162" i="11"/>
  <c r="D162" i="11"/>
  <c r="F162" i="11" s="1"/>
  <c r="F161" i="11"/>
  <c r="D160" i="11"/>
  <c r="F159" i="11"/>
  <c r="F158" i="11"/>
  <c r="F157" i="11"/>
  <c r="J156" i="11"/>
  <c r="D156" i="11"/>
  <c r="F156" i="11" s="1"/>
  <c r="F155" i="11"/>
  <c r="J154" i="11"/>
  <c r="D154" i="11"/>
  <c r="F154" i="11" s="1"/>
  <c r="F153" i="11"/>
  <c r="J152" i="11"/>
  <c r="D152" i="11"/>
  <c r="F152" i="11" s="1"/>
  <c r="J151" i="11"/>
  <c r="D151" i="11"/>
  <c r="F151" i="11" s="1"/>
  <c r="K150" i="11"/>
  <c r="J150" i="11"/>
  <c r="D150" i="11"/>
  <c r="F150" i="11" s="1"/>
  <c r="K149" i="11"/>
  <c r="J149" i="11"/>
  <c r="D149" i="11"/>
  <c r="F149" i="11" s="1"/>
  <c r="F148" i="11"/>
  <c r="K147" i="11"/>
  <c r="J147" i="11"/>
  <c r="D147" i="11"/>
  <c r="F147" i="11" s="1"/>
  <c r="F146" i="11"/>
  <c r="F145" i="11"/>
  <c r="F144" i="11"/>
  <c r="F143" i="11"/>
  <c r="F142" i="11"/>
  <c r="F141" i="11"/>
  <c r="F140" i="11"/>
  <c r="K139" i="11"/>
  <c r="D139" i="11"/>
  <c r="F139" i="11" s="1"/>
  <c r="K138" i="11"/>
  <c r="J138" i="11"/>
  <c r="F138" i="11"/>
  <c r="D138" i="11"/>
  <c r="J137" i="11"/>
  <c r="D137" i="11"/>
  <c r="F137" i="11" s="1"/>
  <c r="J136" i="11"/>
  <c r="D136" i="11"/>
  <c r="F136" i="11" s="1"/>
  <c r="F135" i="11"/>
  <c r="F134" i="11"/>
  <c r="F133" i="11"/>
  <c r="F132" i="11"/>
  <c r="F131" i="11"/>
  <c r="F130" i="11"/>
  <c r="J128" i="11"/>
  <c r="D128" i="11"/>
  <c r="F128" i="11" s="1"/>
  <c r="F127" i="11"/>
  <c r="F126" i="11"/>
  <c r="F125" i="11"/>
  <c r="F124" i="11"/>
  <c r="F123" i="11"/>
  <c r="F122" i="11"/>
  <c r="F121" i="11"/>
  <c r="F120" i="11"/>
  <c r="F119" i="11"/>
  <c r="H118" i="11"/>
  <c r="H297" i="11" s="1"/>
  <c r="F115" i="11"/>
  <c r="F113" i="11"/>
  <c r="K112" i="11"/>
  <c r="J112" i="11"/>
  <c r="F112" i="11"/>
  <c r="K111" i="11"/>
  <c r="J111" i="11"/>
  <c r="D111" i="11"/>
  <c r="F111" i="11" s="1"/>
  <c r="K110" i="11"/>
  <c r="J110" i="11"/>
  <c r="F110" i="11"/>
  <c r="J109" i="11"/>
  <c r="F109" i="11"/>
  <c r="D108" i="11"/>
  <c r="F108" i="11" s="1"/>
  <c r="K107" i="11"/>
  <c r="J107" i="11"/>
  <c r="D107" i="11"/>
  <c r="F107" i="11" s="1"/>
  <c r="K106" i="11"/>
  <c r="J106" i="11"/>
  <c r="D106" i="11"/>
  <c r="F106" i="11" s="1"/>
  <c r="F105" i="11"/>
  <c r="K104" i="11"/>
  <c r="J104" i="11"/>
  <c r="D104" i="11"/>
  <c r="F104" i="11" s="1"/>
  <c r="K103" i="11"/>
  <c r="J103" i="11"/>
  <c r="F103" i="11"/>
  <c r="K102" i="11"/>
  <c r="D102" i="11"/>
  <c r="F102" i="11" s="1"/>
  <c r="F101" i="11"/>
  <c r="K100" i="11"/>
  <c r="D100" i="11"/>
  <c r="F100" i="11" s="1"/>
  <c r="F99" i="11"/>
  <c r="F98" i="11"/>
  <c r="K97" i="11"/>
  <c r="J97" i="11"/>
  <c r="D97" i="11"/>
  <c r="F97" i="11" s="1"/>
  <c r="J96" i="11"/>
  <c r="F96" i="11"/>
  <c r="F95" i="11"/>
  <c r="J94" i="11"/>
  <c r="D94" i="11"/>
  <c r="F94" i="11" s="1"/>
  <c r="F93" i="11"/>
  <c r="J92" i="11"/>
  <c r="D92" i="11"/>
  <c r="F92" i="11" s="1"/>
  <c r="F91" i="11"/>
  <c r="K90" i="11"/>
  <c r="F90" i="11"/>
  <c r="D89" i="11"/>
  <c r="F89" i="11" s="1"/>
  <c r="F88" i="11"/>
  <c r="K87" i="11"/>
  <c r="J87" i="11"/>
  <c r="F87" i="11"/>
  <c r="F86" i="11"/>
  <c r="K85" i="11"/>
  <c r="D85" i="11"/>
  <c r="F85" i="11" s="1"/>
  <c r="K84" i="11"/>
  <c r="D84" i="11"/>
  <c r="F84" i="11" s="1"/>
  <c r="K83" i="11"/>
  <c r="D83" i="11"/>
  <c r="F83" i="11" s="1"/>
  <c r="F82" i="11"/>
  <c r="F81" i="11"/>
  <c r="K80" i="11"/>
  <c r="J80" i="11"/>
  <c r="D80" i="11"/>
  <c r="F80" i="11" s="1"/>
  <c r="D79" i="11"/>
  <c r="F79" i="11" s="1"/>
  <c r="K78" i="11"/>
  <c r="D78" i="11"/>
  <c r="F78" i="11" s="1"/>
  <c r="J77" i="11"/>
  <c r="D77" i="11"/>
  <c r="F77" i="11" s="1"/>
  <c r="J76" i="11"/>
  <c r="D76" i="11"/>
  <c r="F76" i="11" s="1"/>
  <c r="J75" i="11"/>
  <c r="D75" i="11"/>
  <c r="F75" i="11" s="1"/>
  <c r="J74" i="11"/>
  <c r="F74" i="11"/>
  <c r="D73" i="11"/>
  <c r="F73" i="11" s="1"/>
  <c r="F72" i="11"/>
  <c r="J71" i="11"/>
  <c r="D71" i="11"/>
  <c r="F71" i="11" s="1"/>
  <c r="D70" i="11"/>
  <c r="F70" i="11" s="1"/>
  <c r="D69" i="11"/>
  <c r="F69" i="11" s="1"/>
  <c r="K68" i="11"/>
  <c r="D68" i="11"/>
  <c r="F68" i="11" s="1"/>
  <c r="K67" i="11"/>
  <c r="D67" i="11"/>
  <c r="F67" i="11" s="1"/>
  <c r="K66" i="11"/>
  <c r="J66" i="11"/>
  <c r="D66" i="11"/>
  <c r="F66" i="11" s="1"/>
  <c r="K65" i="11"/>
  <c r="J65" i="11"/>
  <c r="D65" i="11"/>
  <c r="F65" i="11" s="1"/>
  <c r="K64" i="11"/>
  <c r="J64" i="11"/>
  <c r="D64" i="11"/>
  <c r="F64" i="11" s="1"/>
  <c r="K63" i="11"/>
  <c r="D63" i="11"/>
  <c r="F63" i="11" s="1"/>
  <c r="K62" i="11"/>
  <c r="D62" i="11"/>
  <c r="F62" i="11" s="1"/>
  <c r="F61" i="11"/>
  <c r="J60" i="11"/>
  <c r="D60" i="11"/>
  <c r="F60" i="11" s="1"/>
  <c r="F59" i="11"/>
  <c r="J58" i="11"/>
  <c r="D58" i="11"/>
  <c r="F58" i="11" s="1"/>
  <c r="K57" i="11"/>
  <c r="J57" i="11"/>
  <c r="D57" i="11"/>
  <c r="F57" i="11" s="1"/>
  <c r="K56" i="11"/>
  <c r="J56" i="11"/>
  <c r="D56" i="11"/>
  <c r="F56" i="11" s="1"/>
  <c r="J55" i="11"/>
  <c r="D55" i="11"/>
  <c r="F55" i="11" s="1"/>
  <c r="K54" i="11"/>
  <c r="F54" i="11"/>
  <c r="F53" i="11"/>
  <c r="K52" i="11"/>
  <c r="J52" i="11"/>
  <c r="F52" i="11"/>
  <c r="J51" i="11"/>
  <c r="D51" i="11"/>
  <c r="F51" i="11" s="1"/>
  <c r="K50" i="11"/>
  <c r="J50" i="11"/>
  <c r="D50" i="11"/>
  <c r="F50" i="11" s="1"/>
  <c r="K49" i="11"/>
  <c r="J49" i="11"/>
  <c r="D49" i="11"/>
  <c r="F49" i="11" s="1"/>
  <c r="F48" i="11"/>
  <c r="F47" i="11"/>
  <c r="K46" i="11"/>
  <c r="J46" i="11"/>
  <c r="F46" i="11"/>
  <c r="F45" i="11"/>
  <c r="K44" i="11"/>
  <c r="J44" i="11"/>
  <c r="D44" i="11"/>
  <c r="F44" i="11" s="1"/>
  <c r="F43" i="11"/>
  <c r="F42" i="11"/>
  <c r="F41" i="11"/>
  <c r="F40" i="11"/>
  <c r="F39" i="11"/>
  <c r="F38" i="11"/>
  <c r="J37" i="11"/>
  <c r="D37" i="11"/>
  <c r="F37" i="11" s="1"/>
  <c r="J36" i="11"/>
  <c r="D36" i="11"/>
  <c r="F36" i="11" s="1"/>
  <c r="F35" i="11"/>
  <c r="F34" i="11"/>
  <c r="J33" i="11"/>
  <c r="D33" i="11"/>
  <c r="F33" i="11" s="1"/>
  <c r="J32" i="11"/>
  <c r="D32" i="11"/>
  <c r="F32" i="11" s="1"/>
  <c r="J31" i="11"/>
  <c r="D31" i="11"/>
  <c r="F31" i="11" s="1"/>
  <c r="J30" i="11"/>
  <c r="D30" i="11"/>
  <c r="F30" i="11" s="1"/>
  <c r="J29" i="11"/>
  <c r="D29" i="11"/>
  <c r="F29" i="11" s="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J14" i="11"/>
  <c r="D14" i="11"/>
  <c r="F14" i="11" s="1"/>
  <c r="F13" i="11"/>
  <c r="F281" i="10"/>
  <c r="D297" i="11" l="1"/>
  <c r="J297" i="11"/>
  <c r="K297" i="11"/>
  <c r="F297" i="11"/>
  <c r="F280" i="10"/>
  <c r="F279" i="10"/>
  <c r="F278" i="10"/>
  <c r="J277" i="10"/>
  <c r="D277" i="10"/>
  <c r="F277" i="10" s="1"/>
  <c r="F276" i="10"/>
  <c r="F275" i="10"/>
  <c r="J274" i="10"/>
  <c r="D274" i="10"/>
  <c r="F274" i="10" s="1"/>
  <c r="F273" i="10"/>
  <c r="F272" i="10"/>
  <c r="F271" i="10"/>
  <c r="F270" i="10"/>
  <c r="J269" i="10"/>
  <c r="D269" i="10"/>
  <c r="F269" i="10" s="1"/>
  <c r="F268" i="10"/>
  <c r="F267" i="10"/>
  <c r="F266" i="10"/>
  <c r="F265" i="10"/>
  <c r="F264" i="10"/>
  <c r="F263" i="10"/>
  <c r="F262" i="10"/>
  <c r="F261" i="10"/>
  <c r="J260" i="10"/>
  <c r="D260" i="10"/>
  <c r="F260" i="10" s="1"/>
  <c r="J258" i="10" l="1"/>
  <c r="F259" i="10"/>
  <c r="F258" i="10"/>
  <c r="F257" i="10"/>
  <c r="F256" i="10"/>
  <c r="J249" i="10"/>
  <c r="D249" i="10"/>
  <c r="F255" i="10"/>
  <c r="F254" i="10"/>
  <c r="F253" i="10" l="1"/>
  <c r="F252" i="10"/>
  <c r="F251" i="10"/>
  <c r="F250" i="10"/>
  <c r="F249" i="10"/>
  <c r="F248" i="10"/>
  <c r="K247" i="10"/>
  <c r="J247" i="10"/>
  <c r="D247" i="10"/>
  <c r="F247" i="10" s="1"/>
  <c r="J246" i="10"/>
  <c r="F246" i="10"/>
  <c r="K245" i="10"/>
  <c r="F245" i="10"/>
  <c r="F243" i="10"/>
  <c r="F244" i="10"/>
  <c r="J242" i="10"/>
  <c r="D242" i="10"/>
  <c r="F242" i="10" s="1"/>
  <c r="F241" i="10"/>
  <c r="F240" i="10"/>
  <c r="J239" i="10"/>
  <c r="F239" i="10"/>
  <c r="J238" i="10"/>
  <c r="D238" i="10"/>
  <c r="F238" i="10" s="1"/>
  <c r="F237" i="10" l="1"/>
  <c r="F236" i="10"/>
  <c r="J235" i="10"/>
  <c r="D235" i="10"/>
  <c r="F235" i="10" s="1"/>
  <c r="D233" i="10"/>
  <c r="F233" i="10" s="1"/>
  <c r="F232" i="10"/>
  <c r="F231" i="10"/>
  <c r="F230" i="10"/>
  <c r="K229" i="10"/>
  <c r="D229" i="10"/>
  <c r="F229" i="10" s="1"/>
  <c r="F228" i="10"/>
  <c r="J227" i="10"/>
  <c r="D227" i="10"/>
  <c r="F227" i="10" s="1"/>
  <c r="F226" i="10"/>
  <c r="F225" i="10"/>
  <c r="F224" i="10"/>
  <c r="K223" i="10"/>
  <c r="D223" i="10"/>
  <c r="J223" i="10"/>
  <c r="F223" i="10" l="1"/>
  <c r="F222" i="10"/>
  <c r="F221" i="10"/>
  <c r="F220" i="10"/>
  <c r="K219" i="10"/>
  <c r="J219" i="10"/>
  <c r="D219" i="10"/>
  <c r="F219" i="10" s="1"/>
  <c r="K218" i="10"/>
  <c r="D218" i="10"/>
  <c r="F218" i="10" s="1"/>
  <c r="K217" i="10"/>
  <c r="D217" i="10"/>
  <c r="F217" i="10" s="1"/>
  <c r="K216" i="10"/>
  <c r="J216" i="10"/>
  <c r="D216" i="10"/>
  <c r="F216" i="10" s="1"/>
  <c r="F215" i="10"/>
  <c r="F214" i="10"/>
  <c r="F213" i="10"/>
  <c r="F212" i="10"/>
  <c r="F211" i="10"/>
  <c r="F210" i="10"/>
  <c r="F209" i="10"/>
  <c r="F208" i="10"/>
  <c r="J207" i="10"/>
  <c r="D207" i="10"/>
  <c r="F207" i="10" s="1"/>
  <c r="F206" i="10"/>
  <c r="F205" i="10"/>
  <c r="J204" i="10"/>
  <c r="D204" i="10"/>
  <c r="F204" i="10" s="1"/>
  <c r="F203" i="10"/>
  <c r="D202" i="10"/>
  <c r="F202" i="10" s="1"/>
  <c r="D201" i="10"/>
  <c r="F201" i="10" s="1"/>
  <c r="D200" i="10"/>
  <c r="F200" i="10" s="1"/>
  <c r="F199" i="10"/>
  <c r="D198" i="10"/>
  <c r="F198" i="10" s="1"/>
  <c r="F197" i="10"/>
  <c r="D196" i="10"/>
  <c r="F196" i="10" s="1"/>
  <c r="F194" i="10"/>
  <c r="F193" i="10"/>
  <c r="F192" i="10"/>
  <c r="F191" i="10"/>
  <c r="F190" i="10"/>
  <c r="J189" i="10"/>
  <c r="D189" i="10"/>
  <c r="F189" i="10" s="1"/>
  <c r="F188" i="10"/>
  <c r="F186" i="10"/>
  <c r="F185" i="10"/>
  <c r="F184" i="10"/>
  <c r="F183" i="10"/>
  <c r="F182" i="10"/>
  <c r="D181" i="10"/>
  <c r="F181" i="10" s="1"/>
  <c r="F180" i="10"/>
  <c r="F179" i="10"/>
  <c r="D178" i="10"/>
  <c r="F178" i="10" s="1"/>
  <c r="F177" i="10"/>
  <c r="F176" i="10"/>
  <c r="F175" i="10"/>
  <c r="D174" i="10"/>
  <c r="F174" i="10" s="1"/>
  <c r="F173" i="10"/>
  <c r="F172" i="10"/>
  <c r="F171" i="10"/>
  <c r="F170" i="10"/>
  <c r="D169" i="10"/>
  <c r="F169" i="10" s="1"/>
  <c r="J168" i="10"/>
  <c r="F168" i="10"/>
  <c r="F167" i="10"/>
  <c r="F166" i="10"/>
  <c r="F165" i="10"/>
  <c r="F164" i="10"/>
  <c r="F163" i="10"/>
  <c r="J162" i="10"/>
  <c r="D162" i="10"/>
  <c r="F162" i="10" s="1"/>
  <c r="F161" i="10"/>
  <c r="D160" i="10"/>
  <c r="F159" i="10"/>
  <c r="F158" i="10"/>
  <c r="F157" i="10"/>
  <c r="J156" i="10"/>
  <c r="D156" i="10"/>
  <c r="F156" i="10" s="1"/>
  <c r="F155" i="10"/>
  <c r="J154" i="10"/>
  <c r="D154" i="10"/>
  <c r="F154" i="10" s="1"/>
  <c r="F153" i="10"/>
  <c r="J152" i="10"/>
  <c r="D152" i="10"/>
  <c r="F152" i="10" s="1"/>
  <c r="J151" i="10"/>
  <c r="D151" i="10"/>
  <c r="F151" i="10" s="1"/>
  <c r="K150" i="10"/>
  <c r="J150" i="10"/>
  <c r="D150" i="10"/>
  <c r="F150" i="10" s="1"/>
  <c r="K149" i="10"/>
  <c r="J149" i="10"/>
  <c r="D149" i="10"/>
  <c r="F149" i="10" s="1"/>
  <c r="F148" i="10"/>
  <c r="K147" i="10"/>
  <c r="J147" i="10"/>
  <c r="D147" i="10"/>
  <c r="F147" i="10" s="1"/>
  <c r="F146" i="10"/>
  <c r="F145" i="10"/>
  <c r="F144" i="10"/>
  <c r="F143" i="10"/>
  <c r="F142" i="10"/>
  <c r="F141" i="10"/>
  <c r="F140" i="10"/>
  <c r="K139" i="10"/>
  <c r="D139" i="10"/>
  <c r="F139" i="10" s="1"/>
  <c r="K138" i="10"/>
  <c r="J138" i="10"/>
  <c r="F138" i="10"/>
  <c r="D138" i="10"/>
  <c r="J137" i="10"/>
  <c r="D137" i="10"/>
  <c r="F137" i="10" s="1"/>
  <c r="J136" i="10"/>
  <c r="D136" i="10"/>
  <c r="F136" i="10" s="1"/>
  <c r="F135" i="10"/>
  <c r="F134" i="10"/>
  <c r="F133" i="10"/>
  <c r="F132" i="10"/>
  <c r="F131" i="10"/>
  <c r="F130" i="10"/>
  <c r="J128" i="10"/>
  <c r="D128" i="10"/>
  <c r="F128" i="10" s="1"/>
  <c r="F127" i="10"/>
  <c r="F126" i="10"/>
  <c r="F125" i="10"/>
  <c r="F124" i="10"/>
  <c r="F123" i="10"/>
  <c r="F122" i="10"/>
  <c r="F121" i="10"/>
  <c r="F120" i="10"/>
  <c r="F119" i="10"/>
  <c r="H118" i="10"/>
  <c r="H285" i="10" s="1"/>
  <c r="F115" i="10"/>
  <c r="F113" i="10"/>
  <c r="K112" i="10"/>
  <c r="J112" i="10"/>
  <c r="F112" i="10"/>
  <c r="K111" i="10"/>
  <c r="J111" i="10"/>
  <c r="D111" i="10"/>
  <c r="F111" i="10" s="1"/>
  <c r="K110" i="10"/>
  <c r="J110" i="10"/>
  <c r="F110" i="10"/>
  <c r="J109" i="10"/>
  <c r="F109" i="10"/>
  <c r="D108" i="10"/>
  <c r="F108" i="10" s="1"/>
  <c r="K107" i="10"/>
  <c r="J107" i="10"/>
  <c r="D107" i="10"/>
  <c r="F107" i="10" s="1"/>
  <c r="K106" i="10"/>
  <c r="J106" i="10"/>
  <c r="D106" i="10"/>
  <c r="F106" i="10" s="1"/>
  <c r="F105" i="10"/>
  <c r="K104" i="10"/>
  <c r="J104" i="10"/>
  <c r="D104" i="10"/>
  <c r="F104" i="10" s="1"/>
  <c r="K103" i="10"/>
  <c r="J103" i="10"/>
  <c r="F103" i="10"/>
  <c r="K102" i="10"/>
  <c r="D102" i="10"/>
  <c r="F102" i="10" s="1"/>
  <c r="F101" i="10"/>
  <c r="K100" i="10"/>
  <c r="D100" i="10"/>
  <c r="F100" i="10" s="1"/>
  <c r="F99" i="10"/>
  <c r="F98" i="10"/>
  <c r="K97" i="10"/>
  <c r="J97" i="10"/>
  <c r="D97" i="10"/>
  <c r="F97" i="10" s="1"/>
  <c r="J96" i="10"/>
  <c r="F96" i="10"/>
  <c r="F95" i="10"/>
  <c r="J94" i="10"/>
  <c r="D94" i="10"/>
  <c r="F94" i="10" s="1"/>
  <c r="F93" i="10"/>
  <c r="J92" i="10"/>
  <c r="D92" i="10"/>
  <c r="F92" i="10" s="1"/>
  <c r="F91" i="10"/>
  <c r="K90" i="10"/>
  <c r="F90" i="10"/>
  <c r="D89" i="10"/>
  <c r="F89" i="10" s="1"/>
  <c r="F88" i="10"/>
  <c r="K87" i="10"/>
  <c r="J87" i="10"/>
  <c r="F87" i="10"/>
  <c r="F86" i="10"/>
  <c r="K85" i="10"/>
  <c r="D85" i="10"/>
  <c r="F85" i="10" s="1"/>
  <c r="K84" i="10"/>
  <c r="D84" i="10"/>
  <c r="F84" i="10" s="1"/>
  <c r="K83" i="10"/>
  <c r="D83" i="10"/>
  <c r="F83" i="10" s="1"/>
  <c r="F82" i="10"/>
  <c r="F81" i="10"/>
  <c r="K80" i="10"/>
  <c r="J80" i="10"/>
  <c r="D80" i="10"/>
  <c r="F80" i="10" s="1"/>
  <c r="D79" i="10"/>
  <c r="F79" i="10" s="1"/>
  <c r="K78" i="10"/>
  <c r="D78" i="10"/>
  <c r="F78" i="10" s="1"/>
  <c r="J77" i="10"/>
  <c r="D77" i="10"/>
  <c r="F77" i="10" s="1"/>
  <c r="J76" i="10"/>
  <c r="D76" i="10"/>
  <c r="F76" i="10" s="1"/>
  <c r="J75" i="10"/>
  <c r="D75" i="10"/>
  <c r="F75" i="10" s="1"/>
  <c r="J74" i="10"/>
  <c r="F74" i="10"/>
  <c r="D73" i="10"/>
  <c r="F73" i="10" s="1"/>
  <c r="F72" i="10"/>
  <c r="J71" i="10"/>
  <c r="D71" i="10"/>
  <c r="F71" i="10" s="1"/>
  <c r="D70" i="10"/>
  <c r="F70" i="10" s="1"/>
  <c r="D69" i="10"/>
  <c r="F69" i="10" s="1"/>
  <c r="K68" i="10"/>
  <c r="D68" i="10"/>
  <c r="F68" i="10" s="1"/>
  <c r="K67" i="10"/>
  <c r="D67" i="10"/>
  <c r="F67" i="10" s="1"/>
  <c r="K66" i="10"/>
  <c r="J66" i="10"/>
  <c r="D66" i="10"/>
  <c r="F66" i="10" s="1"/>
  <c r="K65" i="10"/>
  <c r="J65" i="10"/>
  <c r="D65" i="10"/>
  <c r="F65" i="10" s="1"/>
  <c r="K64" i="10"/>
  <c r="J64" i="10"/>
  <c r="D64" i="10"/>
  <c r="F64" i="10" s="1"/>
  <c r="K63" i="10"/>
  <c r="D63" i="10"/>
  <c r="F63" i="10" s="1"/>
  <c r="K62" i="10"/>
  <c r="D62" i="10"/>
  <c r="F62" i="10" s="1"/>
  <c r="F61" i="10"/>
  <c r="J60" i="10"/>
  <c r="D60" i="10"/>
  <c r="F60" i="10" s="1"/>
  <c r="F59" i="10"/>
  <c r="J58" i="10"/>
  <c r="D58" i="10"/>
  <c r="F58" i="10" s="1"/>
  <c r="K57" i="10"/>
  <c r="J57" i="10"/>
  <c r="D57" i="10"/>
  <c r="F57" i="10" s="1"/>
  <c r="K56" i="10"/>
  <c r="J56" i="10"/>
  <c r="D56" i="10"/>
  <c r="F56" i="10" s="1"/>
  <c r="J55" i="10"/>
  <c r="D55" i="10"/>
  <c r="F55" i="10" s="1"/>
  <c r="K54" i="10"/>
  <c r="F54" i="10"/>
  <c r="F53" i="10"/>
  <c r="K52" i="10"/>
  <c r="J52" i="10"/>
  <c r="F52" i="10"/>
  <c r="J51" i="10"/>
  <c r="D51" i="10"/>
  <c r="F51" i="10" s="1"/>
  <c r="K50" i="10"/>
  <c r="J50" i="10"/>
  <c r="D50" i="10"/>
  <c r="F50" i="10" s="1"/>
  <c r="K49" i="10"/>
  <c r="J49" i="10"/>
  <c r="D49" i="10"/>
  <c r="F49" i="10" s="1"/>
  <c r="F48" i="10"/>
  <c r="F47" i="10"/>
  <c r="K46" i="10"/>
  <c r="J46" i="10"/>
  <c r="F46" i="10"/>
  <c r="F45" i="10"/>
  <c r="K44" i="10"/>
  <c r="J44" i="10"/>
  <c r="D44" i="10"/>
  <c r="F44" i="10" s="1"/>
  <c r="F43" i="10"/>
  <c r="F42" i="10"/>
  <c r="F41" i="10"/>
  <c r="F40" i="10"/>
  <c r="F39" i="10"/>
  <c r="F38" i="10"/>
  <c r="J37" i="10"/>
  <c r="D37" i="10"/>
  <c r="F37" i="10" s="1"/>
  <c r="J36" i="10"/>
  <c r="D36" i="10"/>
  <c r="F36" i="10" s="1"/>
  <c r="F35" i="10"/>
  <c r="F34" i="10"/>
  <c r="J33" i="10"/>
  <c r="D33" i="10"/>
  <c r="F33" i="10" s="1"/>
  <c r="J32" i="10"/>
  <c r="D32" i="10"/>
  <c r="F32" i="10" s="1"/>
  <c r="J31" i="10"/>
  <c r="D31" i="10"/>
  <c r="F31" i="10" s="1"/>
  <c r="J30" i="10"/>
  <c r="D30" i="10"/>
  <c r="F30" i="10" s="1"/>
  <c r="J29" i="10"/>
  <c r="D29" i="10"/>
  <c r="F29" i="10" s="1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J14" i="10"/>
  <c r="J285" i="10" s="1"/>
  <c r="D14" i="10"/>
  <c r="F13" i="10"/>
  <c r="D285" i="10" l="1"/>
  <c r="F285" i="10" s="1"/>
  <c r="K285" i="10"/>
  <c r="F14" i="10"/>
  <c r="H210" i="9"/>
  <c r="H118" i="9"/>
  <c r="C210" i="9"/>
  <c r="F205" i="9"/>
  <c r="J204" i="9"/>
  <c r="D204" i="9"/>
  <c r="F204" i="9" s="1"/>
  <c r="F203" i="9"/>
  <c r="D202" i="9"/>
  <c r="F202" i="9" s="1"/>
  <c r="D201" i="9"/>
  <c r="F201" i="9" s="1"/>
  <c r="D200" i="9"/>
  <c r="F200" i="9" s="1"/>
  <c r="F199" i="9"/>
  <c r="D198" i="9"/>
  <c r="F198" i="9" s="1"/>
  <c r="F197" i="9"/>
  <c r="D196" i="9"/>
  <c r="F196" i="9" s="1"/>
  <c r="F194" i="9"/>
  <c r="F193" i="9"/>
  <c r="F192" i="9"/>
  <c r="F191" i="9"/>
  <c r="F190" i="9"/>
  <c r="J189" i="9"/>
  <c r="D189" i="9"/>
  <c r="F189" i="9" s="1"/>
  <c r="F188" i="9"/>
  <c r="F186" i="9"/>
  <c r="F185" i="9"/>
  <c r="F184" i="9"/>
  <c r="F183" i="9"/>
  <c r="F182" i="9"/>
  <c r="D181" i="9"/>
  <c r="F181" i="9" s="1"/>
  <c r="F180" i="9"/>
  <c r="F179" i="9"/>
  <c r="D178" i="9"/>
  <c r="F178" i="9" s="1"/>
  <c r="F177" i="9"/>
  <c r="F176" i="9"/>
  <c r="F175" i="9"/>
  <c r="D174" i="9"/>
  <c r="F174" i="9" s="1"/>
  <c r="F173" i="9"/>
  <c r="F172" i="9"/>
  <c r="F171" i="9"/>
  <c r="F170" i="9"/>
  <c r="D169" i="9"/>
  <c r="F169" i="9" s="1"/>
  <c r="J168" i="9"/>
  <c r="F168" i="9"/>
  <c r="F167" i="9"/>
  <c r="F166" i="9"/>
  <c r="F165" i="9"/>
  <c r="F164" i="9"/>
  <c r="F163" i="9"/>
  <c r="J162" i="9"/>
  <c r="D162" i="9"/>
  <c r="F162" i="9" s="1"/>
  <c r="F161" i="9"/>
  <c r="D160" i="9"/>
  <c r="F159" i="9"/>
  <c r="F158" i="9"/>
  <c r="F157" i="9"/>
  <c r="J156" i="9"/>
  <c r="D156" i="9"/>
  <c r="F156" i="9" s="1"/>
  <c r="F155" i="9"/>
  <c r="J154" i="9"/>
  <c r="D154" i="9"/>
  <c r="F154" i="9" s="1"/>
  <c r="F153" i="9"/>
  <c r="J152" i="9"/>
  <c r="D152" i="9"/>
  <c r="F152" i="9" s="1"/>
  <c r="J151" i="9"/>
  <c r="D151" i="9"/>
  <c r="F151" i="9" s="1"/>
  <c r="K150" i="9"/>
  <c r="J150" i="9"/>
  <c r="D150" i="9"/>
  <c r="F150" i="9" s="1"/>
  <c r="K149" i="9"/>
  <c r="J149" i="9"/>
  <c r="D149" i="9"/>
  <c r="F149" i="9" s="1"/>
  <c r="F148" i="9"/>
  <c r="K147" i="9"/>
  <c r="J147" i="9"/>
  <c r="D147" i="9"/>
  <c r="F147" i="9" s="1"/>
  <c r="F146" i="9"/>
  <c r="F145" i="9"/>
  <c r="F144" i="9"/>
  <c r="F143" i="9"/>
  <c r="F142" i="9"/>
  <c r="F141" i="9"/>
  <c r="F140" i="9"/>
  <c r="K139" i="9"/>
  <c r="D139" i="9"/>
  <c r="F139" i="9" s="1"/>
  <c r="K138" i="9"/>
  <c r="J138" i="9"/>
  <c r="F138" i="9"/>
  <c r="D138" i="9"/>
  <c r="J137" i="9"/>
  <c r="D137" i="9"/>
  <c r="F137" i="9" s="1"/>
  <c r="J136" i="9"/>
  <c r="D136" i="9"/>
  <c r="F136" i="9" s="1"/>
  <c r="F135" i="9"/>
  <c r="F134" i="9"/>
  <c r="F133" i="9"/>
  <c r="F132" i="9"/>
  <c r="F131" i="9"/>
  <c r="F130" i="9"/>
  <c r="J128" i="9"/>
  <c r="D128" i="9"/>
  <c r="F128" i="9" s="1"/>
  <c r="F127" i="9"/>
  <c r="F126" i="9"/>
  <c r="F125" i="9"/>
  <c r="F124" i="9"/>
  <c r="F123" i="9"/>
  <c r="F122" i="9"/>
  <c r="F121" i="9"/>
  <c r="F120" i="9"/>
  <c r="F119" i="9"/>
  <c r="F115" i="9"/>
  <c r="F113" i="9"/>
  <c r="K112" i="9"/>
  <c r="J112" i="9"/>
  <c r="F112" i="9"/>
  <c r="K111" i="9"/>
  <c r="J111" i="9"/>
  <c r="D111" i="9"/>
  <c r="F111" i="9" s="1"/>
  <c r="K110" i="9"/>
  <c r="J110" i="9"/>
  <c r="F110" i="9"/>
  <c r="J109" i="9"/>
  <c r="F109" i="9"/>
  <c r="D108" i="9"/>
  <c r="F108" i="9" s="1"/>
  <c r="K107" i="9"/>
  <c r="J107" i="9"/>
  <c r="D107" i="9"/>
  <c r="F107" i="9" s="1"/>
  <c r="K106" i="9"/>
  <c r="J106" i="9"/>
  <c r="D106" i="9"/>
  <c r="F106" i="9" s="1"/>
  <c r="F105" i="9"/>
  <c r="K104" i="9"/>
  <c r="J104" i="9"/>
  <c r="D104" i="9"/>
  <c r="F104" i="9" s="1"/>
  <c r="K103" i="9"/>
  <c r="J103" i="9"/>
  <c r="F103" i="9"/>
  <c r="K102" i="9"/>
  <c r="D102" i="9"/>
  <c r="F102" i="9" s="1"/>
  <c r="F101" i="9"/>
  <c r="K100" i="9"/>
  <c r="D100" i="9"/>
  <c r="F100" i="9" s="1"/>
  <c r="F99" i="9"/>
  <c r="F98" i="9"/>
  <c r="K97" i="9"/>
  <c r="J97" i="9"/>
  <c r="D97" i="9"/>
  <c r="F97" i="9" s="1"/>
  <c r="J96" i="9"/>
  <c r="F96" i="9"/>
  <c r="F95" i="9"/>
  <c r="J94" i="9"/>
  <c r="D94" i="9"/>
  <c r="F94" i="9" s="1"/>
  <c r="F93" i="9"/>
  <c r="J92" i="9"/>
  <c r="D92" i="9"/>
  <c r="F92" i="9" s="1"/>
  <c r="F91" i="9"/>
  <c r="K90" i="9"/>
  <c r="F90" i="9"/>
  <c r="D89" i="9"/>
  <c r="F89" i="9" s="1"/>
  <c r="F88" i="9"/>
  <c r="K87" i="9"/>
  <c r="J87" i="9"/>
  <c r="F87" i="9"/>
  <c r="F86" i="9"/>
  <c r="K85" i="9"/>
  <c r="D85" i="9"/>
  <c r="F85" i="9" s="1"/>
  <c r="K84" i="9"/>
  <c r="D84" i="9"/>
  <c r="F84" i="9" s="1"/>
  <c r="K83" i="9"/>
  <c r="D83" i="9"/>
  <c r="F83" i="9" s="1"/>
  <c r="F82" i="9"/>
  <c r="F81" i="9"/>
  <c r="K80" i="9"/>
  <c r="J80" i="9"/>
  <c r="D80" i="9"/>
  <c r="F80" i="9" s="1"/>
  <c r="D79" i="9"/>
  <c r="F79" i="9" s="1"/>
  <c r="K78" i="9"/>
  <c r="D78" i="9"/>
  <c r="F78" i="9" s="1"/>
  <c r="J77" i="9"/>
  <c r="D77" i="9"/>
  <c r="F77" i="9" s="1"/>
  <c r="J76" i="9"/>
  <c r="D76" i="9"/>
  <c r="F76" i="9" s="1"/>
  <c r="J75" i="9"/>
  <c r="D75" i="9"/>
  <c r="F75" i="9" s="1"/>
  <c r="J74" i="9"/>
  <c r="F74" i="9"/>
  <c r="D73" i="9"/>
  <c r="F73" i="9" s="1"/>
  <c r="F72" i="9"/>
  <c r="J71" i="9"/>
  <c r="D71" i="9"/>
  <c r="F71" i="9" s="1"/>
  <c r="D70" i="9"/>
  <c r="F70" i="9" s="1"/>
  <c r="D69" i="9"/>
  <c r="F69" i="9" s="1"/>
  <c r="K68" i="9"/>
  <c r="D68" i="9"/>
  <c r="F68" i="9" s="1"/>
  <c r="K67" i="9"/>
  <c r="D67" i="9"/>
  <c r="F67" i="9" s="1"/>
  <c r="K66" i="9"/>
  <c r="J66" i="9"/>
  <c r="D66" i="9"/>
  <c r="F66" i="9" s="1"/>
  <c r="K65" i="9"/>
  <c r="J65" i="9"/>
  <c r="D65" i="9"/>
  <c r="F65" i="9" s="1"/>
  <c r="K64" i="9"/>
  <c r="J64" i="9"/>
  <c r="D64" i="9"/>
  <c r="F64" i="9" s="1"/>
  <c r="K63" i="9"/>
  <c r="D63" i="9"/>
  <c r="F63" i="9" s="1"/>
  <c r="K62" i="9"/>
  <c r="D62" i="9"/>
  <c r="F62" i="9" s="1"/>
  <c r="F61" i="9"/>
  <c r="J60" i="9"/>
  <c r="D60" i="9"/>
  <c r="F60" i="9" s="1"/>
  <c r="F59" i="9"/>
  <c r="J58" i="9"/>
  <c r="D58" i="9"/>
  <c r="F58" i="9" s="1"/>
  <c r="K57" i="9"/>
  <c r="J57" i="9"/>
  <c r="D57" i="9"/>
  <c r="F57" i="9" s="1"/>
  <c r="K56" i="9"/>
  <c r="J56" i="9"/>
  <c r="D56" i="9"/>
  <c r="F56" i="9" s="1"/>
  <c r="J55" i="9"/>
  <c r="D55" i="9"/>
  <c r="F55" i="9" s="1"/>
  <c r="K54" i="9"/>
  <c r="F54" i="9"/>
  <c r="F53" i="9"/>
  <c r="K52" i="9"/>
  <c r="J52" i="9"/>
  <c r="F52" i="9"/>
  <c r="J51" i="9"/>
  <c r="D51" i="9"/>
  <c r="F51" i="9" s="1"/>
  <c r="K50" i="9"/>
  <c r="J50" i="9"/>
  <c r="D50" i="9"/>
  <c r="F50" i="9" s="1"/>
  <c r="K49" i="9"/>
  <c r="J49" i="9"/>
  <c r="D49" i="9"/>
  <c r="F49" i="9" s="1"/>
  <c r="F48" i="9"/>
  <c r="F47" i="9"/>
  <c r="K46" i="9"/>
  <c r="J46" i="9"/>
  <c r="F46" i="9"/>
  <c r="F45" i="9"/>
  <c r="K44" i="9"/>
  <c r="J44" i="9"/>
  <c r="D44" i="9"/>
  <c r="F44" i="9" s="1"/>
  <c r="F43" i="9"/>
  <c r="F42" i="9"/>
  <c r="F41" i="9"/>
  <c r="F40" i="9"/>
  <c r="F39" i="9"/>
  <c r="F38" i="9"/>
  <c r="J37" i="9"/>
  <c r="D37" i="9"/>
  <c r="F37" i="9" s="1"/>
  <c r="J36" i="9"/>
  <c r="D36" i="9"/>
  <c r="F36" i="9" s="1"/>
  <c r="F35" i="9"/>
  <c r="F34" i="9"/>
  <c r="J33" i="9"/>
  <c r="D33" i="9"/>
  <c r="F33" i="9" s="1"/>
  <c r="J32" i="9"/>
  <c r="D32" i="9"/>
  <c r="F32" i="9" s="1"/>
  <c r="J31" i="9"/>
  <c r="D31" i="9"/>
  <c r="F31" i="9" s="1"/>
  <c r="J30" i="9"/>
  <c r="D30" i="9"/>
  <c r="F30" i="9" s="1"/>
  <c r="J29" i="9"/>
  <c r="D29" i="9"/>
  <c r="F29" i="9" s="1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J14" i="9"/>
  <c r="D14" i="9"/>
  <c r="F13" i="9"/>
  <c r="K210" i="9" l="1"/>
  <c r="J210" i="9"/>
  <c r="D210" i="9"/>
  <c r="F210" i="9" s="1"/>
  <c r="F14" i="9"/>
  <c r="J323" i="8"/>
  <c r="J331" i="8" l="1"/>
  <c r="J326" i="8"/>
  <c r="J320" i="8"/>
  <c r="J313" i="8"/>
  <c r="J305" i="8"/>
  <c r="J303" i="8"/>
  <c r="J301" i="8"/>
  <c r="J296" i="8"/>
  <c r="J295" i="8"/>
  <c r="H352" i="8"/>
  <c r="C352" i="8"/>
  <c r="F115" i="8"/>
  <c r="J291" i="8" l="1"/>
  <c r="J255" i="8"/>
  <c r="J245" i="8" l="1"/>
  <c r="K240" i="8" l="1"/>
  <c r="J286" i="8"/>
  <c r="J278" i="8"/>
  <c r="J273" i="8"/>
  <c r="J256" i="8" l="1"/>
  <c r="J250" i="8"/>
  <c r="J246" i="8"/>
  <c r="J240" i="8"/>
  <c r="J225" i="8" l="1"/>
  <c r="F206" i="8"/>
  <c r="J205" i="8"/>
  <c r="D205" i="8"/>
  <c r="F205" i="8" s="1"/>
  <c r="F204" i="8"/>
  <c r="D203" i="8"/>
  <c r="F203" i="8" s="1"/>
  <c r="D202" i="8"/>
  <c r="F202" i="8" s="1"/>
  <c r="D201" i="8"/>
  <c r="F201" i="8" s="1"/>
  <c r="F200" i="8"/>
  <c r="D199" i="8"/>
  <c r="F199" i="8" s="1"/>
  <c r="F198" i="8"/>
  <c r="D197" i="8"/>
  <c r="F197" i="8" s="1"/>
  <c r="F195" i="8"/>
  <c r="F194" i="8"/>
  <c r="F193" i="8"/>
  <c r="F192" i="8"/>
  <c r="F191" i="8"/>
  <c r="J190" i="8"/>
  <c r="D190" i="8"/>
  <c r="F190" i="8" s="1"/>
  <c r="F189" i="8"/>
  <c r="F187" i="8"/>
  <c r="F186" i="8"/>
  <c r="F185" i="8"/>
  <c r="F184" i="8"/>
  <c r="F183" i="8"/>
  <c r="D182" i="8"/>
  <c r="F182" i="8" s="1"/>
  <c r="F181" i="8"/>
  <c r="F180" i="8"/>
  <c r="D179" i="8"/>
  <c r="F179" i="8" s="1"/>
  <c r="F178" i="8"/>
  <c r="F177" i="8"/>
  <c r="F176" i="8"/>
  <c r="D175" i="8"/>
  <c r="F175" i="8" s="1"/>
  <c r="F174" i="8"/>
  <c r="F173" i="8"/>
  <c r="F172" i="8"/>
  <c r="F171" i="8"/>
  <c r="D170" i="8"/>
  <c r="F170" i="8" s="1"/>
  <c r="J169" i="8"/>
  <c r="F169" i="8"/>
  <c r="F168" i="8"/>
  <c r="F167" i="8"/>
  <c r="F166" i="8"/>
  <c r="F165" i="8"/>
  <c r="F164" i="8"/>
  <c r="J163" i="8"/>
  <c r="D163" i="8"/>
  <c r="F163" i="8" s="1"/>
  <c r="F162" i="8"/>
  <c r="D161" i="8"/>
  <c r="F160" i="8"/>
  <c r="F159" i="8"/>
  <c r="F158" i="8"/>
  <c r="J157" i="8"/>
  <c r="D157" i="8"/>
  <c r="F157" i="8" s="1"/>
  <c r="F156" i="8"/>
  <c r="J155" i="8"/>
  <c r="D155" i="8"/>
  <c r="F155" i="8" s="1"/>
  <c r="F154" i="8"/>
  <c r="J153" i="8"/>
  <c r="D153" i="8"/>
  <c r="F153" i="8" s="1"/>
  <c r="J152" i="8"/>
  <c r="D152" i="8"/>
  <c r="F152" i="8" s="1"/>
  <c r="K151" i="8"/>
  <c r="J151" i="8"/>
  <c r="D151" i="8"/>
  <c r="F151" i="8" s="1"/>
  <c r="K150" i="8"/>
  <c r="J150" i="8"/>
  <c r="D150" i="8"/>
  <c r="F150" i="8" s="1"/>
  <c r="F149" i="8"/>
  <c r="K148" i="8"/>
  <c r="J148" i="8"/>
  <c r="D148" i="8"/>
  <c r="F148" i="8" s="1"/>
  <c r="F147" i="8"/>
  <c r="F146" i="8"/>
  <c r="F145" i="8"/>
  <c r="F144" i="8"/>
  <c r="F143" i="8"/>
  <c r="F142" i="8"/>
  <c r="F141" i="8"/>
  <c r="K140" i="8"/>
  <c r="D140" i="8"/>
  <c r="F140" i="8" s="1"/>
  <c r="K139" i="8"/>
  <c r="J139" i="8"/>
  <c r="F139" i="8"/>
  <c r="D139" i="8"/>
  <c r="J138" i="8"/>
  <c r="D138" i="8"/>
  <c r="F138" i="8" s="1"/>
  <c r="J137" i="8"/>
  <c r="D137" i="8"/>
  <c r="F137" i="8" s="1"/>
  <c r="F136" i="8"/>
  <c r="F135" i="8"/>
  <c r="F134" i="8"/>
  <c r="F133" i="8"/>
  <c r="F132" i="8"/>
  <c r="F131" i="8"/>
  <c r="J129" i="8"/>
  <c r="D129" i="8"/>
  <c r="F129" i="8" s="1"/>
  <c r="F128" i="8"/>
  <c r="F127" i="8"/>
  <c r="F126" i="8"/>
  <c r="F125" i="8"/>
  <c r="F124" i="8"/>
  <c r="F123" i="8"/>
  <c r="F122" i="8"/>
  <c r="F121" i="8"/>
  <c r="F120" i="8"/>
  <c r="F113" i="8"/>
  <c r="K112" i="8"/>
  <c r="J112" i="8"/>
  <c r="F112" i="8"/>
  <c r="K111" i="8"/>
  <c r="J111" i="8"/>
  <c r="D111" i="8"/>
  <c r="F111" i="8" s="1"/>
  <c r="K110" i="8"/>
  <c r="J110" i="8"/>
  <c r="F110" i="8"/>
  <c r="J109" i="8"/>
  <c r="F109" i="8"/>
  <c r="D108" i="8"/>
  <c r="F108" i="8" s="1"/>
  <c r="K107" i="8"/>
  <c r="J107" i="8"/>
  <c r="D107" i="8"/>
  <c r="F107" i="8" s="1"/>
  <c r="K106" i="8"/>
  <c r="J106" i="8"/>
  <c r="D106" i="8"/>
  <c r="F106" i="8" s="1"/>
  <c r="F105" i="8"/>
  <c r="K104" i="8"/>
  <c r="J104" i="8"/>
  <c r="D104" i="8"/>
  <c r="F104" i="8" s="1"/>
  <c r="K103" i="8"/>
  <c r="J103" i="8"/>
  <c r="F103" i="8"/>
  <c r="K102" i="8"/>
  <c r="D102" i="8"/>
  <c r="F102" i="8" s="1"/>
  <c r="F101" i="8"/>
  <c r="K100" i="8"/>
  <c r="D100" i="8"/>
  <c r="F100" i="8" s="1"/>
  <c r="F99" i="8"/>
  <c r="F98" i="8"/>
  <c r="K97" i="8"/>
  <c r="J97" i="8"/>
  <c r="D97" i="8"/>
  <c r="F97" i="8" s="1"/>
  <c r="J96" i="8"/>
  <c r="F96" i="8"/>
  <c r="F95" i="8"/>
  <c r="J94" i="8"/>
  <c r="D94" i="8"/>
  <c r="F94" i="8" s="1"/>
  <c r="F93" i="8"/>
  <c r="J92" i="8"/>
  <c r="D92" i="8"/>
  <c r="F92" i="8" s="1"/>
  <c r="F91" i="8"/>
  <c r="K90" i="8"/>
  <c r="F90" i="8"/>
  <c r="D89" i="8"/>
  <c r="F89" i="8" s="1"/>
  <c r="F88" i="8"/>
  <c r="K87" i="8"/>
  <c r="J87" i="8"/>
  <c r="F87" i="8"/>
  <c r="F86" i="8"/>
  <c r="K85" i="8"/>
  <c r="D85" i="8"/>
  <c r="F85" i="8" s="1"/>
  <c r="K84" i="8"/>
  <c r="D84" i="8"/>
  <c r="F84" i="8" s="1"/>
  <c r="K83" i="8"/>
  <c r="D83" i="8"/>
  <c r="F83" i="8" s="1"/>
  <c r="F82" i="8"/>
  <c r="F81" i="8"/>
  <c r="K80" i="8"/>
  <c r="J80" i="8"/>
  <c r="D80" i="8"/>
  <c r="F80" i="8" s="1"/>
  <c r="D79" i="8"/>
  <c r="F79" i="8" s="1"/>
  <c r="K78" i="8"/>
  <c r="D78" i="8"/>
  <c r="F78" i="8" s="1"/>
  <c r="J77" i="8"/>
  <c r="D77" i="8"/>
  <c r="F77" i="8" s="1"/>
  <c r="J76" i="8"/>
  <c r="D76" i="8"/>
  <c r="F76" i="8" s="1"/>
  <c r="J75" i="8"/>
  <c r="D75" i="8"/>
  <c r="F75" i="8" s="1"/>
  <c r="J74" i="8"/>
  <c r="F74" i="8"/>
  <c r="D73" i="8"/>
  <c r="F73" i="8" s="1"/>
  <c r="F72" i="8"/>
  <c r="J71" i="8"/>
  <c r="D71" i="8"/>
  <c r="F71" i="8" s="1"/>
  <c r="D70" i="8"/>
  <c r="F70" i="8" s="1"/>
  <c r="D69" i="8"/>
  <c r="F69" i="8" s="1"/>
  <c r="K68" i="8"/>
  <c r="D68" i="8"/>
  <c r="F68" i="8" s="1"/>
  <c r="K67" i="8"/>
  <c r="D67" i="8"/>
  <c r="F67" i="8" s="1"/>
  <c r="K66" i="8"/>
  <c r="J66" i="8"/>
  <c r="D66" i="8"/>
  <c r="F66" i="8" s="1"/>
  <c r="K65" i="8"/>
  <c r="J65" i="8"/>
  <c r="D65" i="8"/>
  <c r="F65" i="8" s="1"/>
  <c r="K64" i="8"/>
  <c r="J64" i="8"/>
  <c r="D64" i="8"/>
  <c r="F64" i="8" s="1"/>
  <c r="K63" i="8"/>
  <c r="D63" i="8"/>
  <c r="F63" i="8" s="1"/>
  <c r="K62" i="8"/>
  <c r="D62" i="8"/>
  <c r="F62" i="8" s="1"/>
  <c r="F61" i="8"/>
  <c r="J60" i="8"/>
  <c r="D60" i="8"/>
  <c r="F60" i="8" s="1"/>
  <c r="F59" i="8"/>
  <c r="J58" i="8"/>
  <c r="D58" i="8"/>
  <c r="F58" i="8" s="1"/>
  <c r="K57" i="8"/>
  <c r="J57" i="8"/>
  <c r="D57" i="8"/>
  <c r="F57" i="8" s="1"/>
  <c r="K56" i="8"/>
  <c r="J56" i="8"/>
  <c r="D56" i="8"/>
  <c r="F56" i="8" s="1"/>
  <c r="J55" i="8"/>
  <c r="D55" i="8"/>
  <c r="F55" i="8" s="1"/>
  <c r="K54" i="8"/>
  <c r="F54" i="8"/>
  <c r="F53" i="8"/>
  <c r="K52" i="8"/>
  <c r="J52" i="8"/>
  <c r="F52" i="8"/>
  <c r="J51" i="8"/>
  <c r="D51" i="8"/>
  <c r="F51" i="8" s="1"/>
  <c r="K50" i="8"/>
  <c r="J50" i="8"/>
  <c r="D50" i="8"/>
  <c r="F50" i="8" s="1"/>
  <c r="K49" i="8"/>
  <c r="J49" i="8"/>
  <c r="D49" i="8"/>
  <c r="F49" i="8" s="1"/>
  <c r="F48" i="8"/>
  <c r="F47" i="8"/>
  <c r="K46" i="8"/>
  <c r="J46" i="8"/>
  <c r="F46" i="8"/>
  <c r="F45" i="8"/>
  <c r="K44" i="8"/>
  <c r="J44" i="8"/>
  <c r="D44" i="8"/>
  <c r="F44" i="8" s="1"/>
  <c r="F43" i="8"/>
  <c r="F42" i="8"/>
  <c r="F41" i="8"/>
  <c r="F40" i="8"/>
  <c r="F39" i="8"/>
  <c r="F38" i="8"/>
  <c r="J37" i="8"/>
  <c r="D37" i="8"/>
  <c r="F37" i="8" s="1"/>
  <c r="J36" i="8"/>
  <c r="D36" i="8"/>
  <c r="F36" i="8" s="1"/>
  <c r="F35" i="8"/>
  <c r="F34" i="8"/>
  <c r="J33" i="8"/>
  <c r="D33" i="8"/>
  <c r="F33" i="8" s="1"/>
  <c r="J32" i="8"/>
  <c r="D32" i="8"/>
  <c r="F32" i="8" s="1"/>
  <c r="J31" i="8"/>
  <c r="D31" i="8"/>
  <c r="F31" i="8" s="1"/>
  <c r="J30" i="8"/>
  <c r="D30" i="8"/>
  <c r="F30" i="8" s="1"/>
  <c r="J29" i="8"/>
  <c r="D29" i="8"/>
  <c r="F29" i="8" s="1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J14" i="8"/>
  <c r="D14" i="8"/>
  <c r="F14" i="8" s="1"/>
  <c r="F13" i="8"/>
  <c r="J352" i="8" l="1"/>
  <c r="K352" i="8"/>
  <c r="D352" i="8"/>
  <c r="F352" i="8" s="1"/>
  <c r="J200" i="6"/>
  <c r="J185" i="6"/>
  <c r="D177" i="6"/>
  <c r="J165" i="6"/>
  <c r="J158" i="6"/>
  <c r="J150" i="6"/>
  <c r="J148" i="6"/>
  <c r="J147" i="6"/>
  <c r="K145" i="6"/>
  <c r="J145" i="6"/>
  <c r="K143" i="6"/>
  <c r="J143" i="6"/>
  <c r="D135" i="6"/>
  <c r="K135" i="6"/>
  <c r="K134" i="6"/>
  <c r="J134" i="6"/>
  <c r="D134" i="6"/>
  <c r="J133" i="6"/>
  <c r="F201" i="6" l="1"/>
  <c r="D200" i="6"/>
  <c r="F200" i="6" s="1"/>
  <c r="F199" i="6"/>
  <c r="D198" i="6"/>
  <c r="F198" i="6" s="1"/>
  <c r="D197" i="6"/>
  <c r="F197" i="6" s="1"/>
  <c r="D196" i="6"/>
  <c r="F196" i="6" s="1"/>
  <c r="F195" i="6"/>
  <c r="F187" i="6"/>
  <c r="K194" i="6"/>
  <c r="D194" i="6"/>
  <c r="F194" i="6" s="1"/>
  <c r="F193" i="6"/>
  <c r="D192" i="6"/>
  <c r="F192" i="6" s="1"/>
  <c r="F190" i="6"/>
  <c r="F189" i="6"/>
  <c r="F188" i="6"/>
  <c r="F186" i="6"/>
  <c r="D185" i="6"/>
  <c r="F185" i="6" s="1"/>
  <c r="F184" i="6"/>
  <c r="F182" i="6"/>
  <c r="F181" i="6"/>
  <c r="F180" i="6"/>
  <c r="F179" i="6"/>
  <c r="F178" i="6"/>
  <c r="F177" i="6"/>
  <c r="F176" i="6"/>
  <c r="F175" i="6"/>
  <c r="D174" i="6"/>
  <c r="F174" i="6" s="1"/>
  <c r="F173" i="6"/>
  <c r="F172" i="6"/>
  <c r="F171" i="6"/>
  <c r="D170" i="6"/>
  <c r="F170" i="6" s="1"/>
  <c r="F169" i="6"/>
  <c r="F168" i="6"/>
  <c r="F167" i="6"/>
  <c r="F166" i="6"/>
  <c r="D165" i="6"/>
  <c r="F165" i="6" s="1"/>
  <c r="J164" i="6"/>
  <c r="F164" i="6"/>
  <c r="F163" i="6"/>
  <c r="F162" i="6"/>
  <c r="F161" i="6"/>
  <c r="F160" i="6"/>
  <c r="F159" i="6"/>
  <c r="D158" i="6"/>
  <c r="F158" i="6" s="1"/>
  <c r="F157" i="6"/>
  <c r="D156" i="6"/>
  <c r="F155" i="6"/>
  <c r="F154" i="6"/>
  <c r="F153" i="6"/>
  <c r="J152" i="6"/>
  <c r="D152" i="6"/>
  <c r="F152" i="6" s="1"/>
  <c r="F151" i="6"/>
  <c r="D150" i="6"/>
  <c r="F150" i="6" s="1"/>
  <c r="F149" i="6"/>
  <c r="D147" i="6"/>
  <c r="F147" i="6" s="1"/>
  <c r="D148" i="6"/>
  <c r="F148" i="6" s="1"/>
  <c r="K146" i="6"/>
  <c r="J146" i="6"/>
  <c r="D146" i="6"/>
  <c r="F146" i="6" s="1"/>
  <c r="D145" i="6"/>
  <c r="F145" i="6" s="1"/>
  <c r="F144" i="6"/>
  <c r="D143" i="6"/>
  <c r="F143" i="6" s="1"/>
  <c r="F142" i="6"/>
  <c r="F141" i="6"/>
  <c r="F140" i="6"/>
  <c r="F139" i="6"/>
  <c r="F138" i="6"/>
  <c r="F137" i="6"/>
  <c r="F136" i="6"/>
  <c r="F135" i="6"/>
  <c r="F134" i="6"/>
  <c r="D133" i="6"/>
  <c r="F133" i="6" s="1"/>
  <c r="F127" i="6"/>
  <c r="J132" i="6"/>
  <c r="D132" i="6"/>
  <c r="F132" i="6" s="1"/>
  <c r="F131" i="6"/>
  <c r="F130" i="6"/>
  <c r="F129" i="6"/>
  <c r="F128" i="6"/>
  <c r="F126" i="6"/>
  <c r="J124" i="6"/>
  <c r="D124" i="6"/>
  <c r="F124" i="6" s="1"/>
  <c r="F123" i="6"/>
  <c r="F122" i="6"/>
  <c r="F121" i="6"/>
  <c r="F120" i="6"/>
  <c r="F119" i="6"/>
  <c r="F118" i="6"/>
  <c r="F117" i="6"/>
  <c r="F116" i="6"/>
  <c r="F115" i="6"/>
  <c r="F113" i="6"/>
  <c r="K112" i="6"/>
  <c r="J112" i="6"/>
  <c r="F112" i="6"/>
  <c r="K111" i="6"/>
  <c r="J111" i="6"/>
  <c r="D111" i="6"/>
  <c r="F111" i="6" s="1"/>
  <c r="K110" i="6"/>
  <c r="J110" i="6"/>
  <c r="F110" i="6"/>
  <c r="J109" i="6"/>
  <c r="F109" i="6"/>
  <c r="D108" i="6"/>
  <c r="F108" i="6" s="1"/>
  <c r="K107" i="6"/>
  <c r="J107" i="6"/>
  <c r="D107" i="6"/>
  <c r="F107" i="6" s="1"/>
  <c r="K106" i="6"/>
  <c r="J106" i="6"/>
  <c r="D106" i="6"/>
  <c r="F106" i="6" s="1"/>
  <c r="F105" i="6"/>
  <c r="K104" i="6"/>
  <c r="J104" i="6"/>
  <c r="D104" i="6"/>
  <c r="F104" i="6" s="1"/>
  <c r="K103" i="6"/>
  <c r="J103" i="6"/>
  <c r="F103" i="6"/>
  <c r="K102" i="6"/>
  <c r="D102" i="6"/>
  <c r="F102" i="6" s="1"/>
  <c r="F101" i="6"/>
  <c r="K100" i="6"/>
  <c r="D100" i="6"/>
  <c r="F100" i="6" s="1"/>
  <c r="F99" i="6"/>
  <c r="F98" i="6"/>
  <c r="K97" i="6"/>
  <c r="J97" i="6"/>
  <c r="D97" i="6"/>
  <c r="F97" i="6" s="1"/>
  <c r="J96" i="6"/>
  <c r="F96" i="6"/>
  <c r="F95" i="6"/>
  <c r="J94" i="6"/>
  <c r="D94" i="6"/>
  <c r="F94" i="6" s="1"/>
  <c r="F93" i="6"/>
  <c r="J92" i="6"/>
  <c r="D92" i="6"/>
  <c r="F92" i="6" s="1"/>
  <c r="F91" i="6"/>
  <c r="K90" i="6"/>
  <c r="F90" i="6"/>
  <c r="D89" i="6"/>
  <c r="F89" i="6" s="1"/>
  <c r="F88" i="6"/>
  <c r="K87" i="6"/>
  <c r="J87" i="6"/>
  <c r="F87" i="6"/>
  <c r="F86" i="6"/>
  <c r="K85" i="6"/>
  <c r="D85" i="6"/>
  <c r="F85" i="6" s="1"/>
  <c r="K84" i="6"/>
  <c r="D84" i="6"/>
  <c r="F84" i="6" s="1"/>
  <c r="K83" i="6"/>
  <c r="D83" i="6"/>
  <c r="F83" i="6" s="1"/>
  <c r="F82" i="6"/>
  <c r="F81" i="6"/>
  <c r="K80" i="6"/>
  <c r="J80" i="6"/>
  <c r="D80" i="6"/>
  <c r="F80" i="6" s="1"/>
  <c r="D79" i="6"/>
  <c r="F79" i="6" s="1"/>
  <c r="K78" i="6"/>
  <c r="D78" i="6"/>
  <c r="F78" i="6" s="1"/>
  <c r="J77" i="6"/>
  <c r="D77" i="6"/>
  <c r="F77" i="6" s="1"/>
  <c r="J76" i="6"/>
  <c r="D76" i="6"/>
  <c r="F76" i="6" s="1"/>
  <c r="J75" i="6"/>
  <c r="D75" i="6"/>
  <c r="F75" i="6" s="1"/>
  <c r="J74" i="6"/>
  <c r="F74" i="6"/>
  <c r="D73" i="6"/>
  <c r="F73" i="6" s="1"/>
  <c r="F72" i="6"/>
  <c r="J71" i="6"/>
  <c r="D71" i="6"/>
  <c r="F71" i="6" s="1"/>
  <c r="D70" i="6"/>
  <c r="F70" i="6" s="1"/>
  <c r="D69" i="6"/>
  <c r="F69" i="6" s="1"/>
  <c r="K68" i="6"/>
  <c r="D68" i="6"/>
  <c r="F68" i="6" s="1"/>
  <c r="K67" i="6"/>
  <c r="D67" i="6"/>
  <c r="F67" i="6" s="1"/>
  <c r="K66" i="6"/>
  <c r="J66" i="6"/>
  <c r="D66" i="6"/>
  <c r="F66" i="6" s="1"/>
  <c r="K65" i="6"/>
  <c r="J65" i="6"/>
  <c r="D65" i="6"/>
  <c r="F65" i="6" s="1"/>
  <c r="K64" i="6"/>
  <c r="J64" i="6"/>
  <c r="D64" i="6"/>
  <c r="F64" i="6" s="1"/>
  <c r="K63" i="6"/>
  <c r="D63" i="6"/>
  <c r="F63" i="6" s="1"/>
  <c r="K62" i="6"/>
  <c r="D62" i="6"/>
  <c r="F62" i="6" s="1"/>
  <c r="F61" i="6"/>
  <c r="J60" i="6"/>
  <c r="D60" i="6"/>
  <c r="F60" i="6" s="1"/>
  <c r="F59" i="6"/>
  <c r="J58" i="6"/>
  <c r="D58" i="6"/>
  <c r="F58" i="6" s="1"/>
  <c r="K57" i="6"/>
  <c r="J57" i="6"/>
  <c r="D57" i="6"/>
  <c r="F57" i="6" s="1"/>
  <c r="K56" i="6"/>
  <c r="J56" i="6"/>
  <c r="D56" i="6"/>
  <c r="F56" i="6" s="1"/>
  <c r="J55" i="6"/>
  <c r="D55" i="6"/>
  <c r="F55" i="6" s="1"/>
  <c r="K54" i="6"/>
  <c r="F54" i="6"/>
  <c r="F53" i="6"/>
  <c r="K52" i="6"/>
  <c r="J52" i="6"/>
  <c r="F52" i="6"/>
  <c r="J51" i="6"/>
  <c r="D51" i="6"/>
  <c r="F51" i="6" s="1"/>
  <c r="K50" i="6"/>
  <c r="J50" i="6"/>
  <c r="D50" i="6"/>
  <c r="F50" i="6" s="1"/>
  <c r="K49" i="6"/>
  <c r="J49" i="6"/>
  <c r="D49" i="6"/>
  <c r="F49" i="6" s="1"/>
  <c r="F48" i="6"/>
  <c r="F47" i="6"/>
  <c r="K46" i="6"/>
  <c r="J46" i="6"/>
  <c r="F46" i="6"/>
  <c r="F45" i="6"/>
  <c r="K44" i="6"/>
  <c r="J44" i="6"/>
  <c r="D44" i="6"/>
  <c r="F44" i="6" s="1"/>
  <c r="F43" i="6"/>
  <c r="F42" i="6"/>
  <c r="F41" i="6"/>
  <c r="F40" i="6"/>
  <c r="F39" i="6"/>
  <c r="F38" i="6"/>
  <c r="J37" i="6"/>
  <c r="D37" i="6"/>
  <c r="F37" i="6" s="1"/>
  <c r="J36" i="6"/>
  <c r="D36" i="6"/>
  <c r="F36" i="6" s="1"/>
  <c r="F35" i="6"/>
  <c r="F34" i="6"/>
  <c r="J33" i="6"/>
  <c r="D33" i="6"/>
  <c r="F33" i="6" s="1"/>
  <c r="J32" i="6"/>
  <c r="D32" i="6"/>
  <c r="F32" i="6" s="1"/>
  <c r="J31" i="6"/>
  <c r="D31" i="6"/>
  <c r="F31" i="6" s="1"/>
  <c r="J30" i="6"/>
  <c r="D30" i="6"/>
  <c r="F30" i="6" s="1"/>
  <c r="J29" i="6"/>
  <c r="D29" i="6"/>
  <c r="F29" i="6" s="1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J14" i="6"/>
  <c r="D14" i="6"/>
  <c r="F13" i="6"/>
  <c r="F14" i="6" l="1"/>
  <c r="D208" i="6"/>
  <c r="F208" i="6" s="1"/>
  <c r="J208" i="6"/>
  <c r="K208" i="6"/>
  <c r="F26" i="5"/>
  <c r="F27" i="5"/>
  <c r="F28" i="5"/>
  <c r="F34" i="5"/>
  <c r="F35" i="5"/>
  <c r="F38" i="5"/>
  <c r="F39" i="5"/>
  <c r="F40" i="5"/>
  <c r="F41" i="5"/>
  <c r="F42" i="5"/>
  <c r="F43" i="5"/>
  <c r="F45" i="5"/>
  <c r="F46" i="5"/>
  <c r="F47" i="5"/>
  <c r="F48" i="5"/>
  <c r="F52" i="5"/>
  <c r="F53" i="5"/>
  <c r="F54" i="5"/>
  <c r="F59" i="5"/>
  <c r="F61" i="5"/>
  <c r="F72" i="5"/>
  <c r="F74" i="5"/>
  <c r="F81" i="5"/>
  <c r="F82" i="5"/>
  <c r="F86" i="5"/>
  <c r="F87" i="5"/>
  <c r="F88" i="5"/>
  <c r="F90" i="5"/>
  <c r="F91" i="5"/>
  <c r="F93" i="5"/>
  <c r="F95" i="5"/>
  <c r="F96" i="5"/>
  <c r="F98" i="5"/>
  <c r="F99" i="5"/>
  <c r="F101" i="5"/>
  <c r="F103" i="5"/>
  <c r="F105" i="5"/>
  <c r="F109" i="5"/>
  <c r="F110" i="5"/>
  <c r="F112" i="5"/>
  <c r="F113" i="5"/>
  <c r="F15" i="5"/>
  <c r="F16" i="5"/>
  <c r="F17" i="5"/>
  <c r="F18" i="5"/>
  <c r="F19" i="5"/>
  <c r="F20" i="5"/>
  <c r="F21" i="5"/>
  <c r="F22" i="5"/>
  <c r="F23" i="5"/>
  <c r="F24" i="5"/>
  <c r="F25" i="5"/>
  <c r="F13" i="5"/>
  <c r="K112" i="5"/>
  <c r="J112" i="5"/>
  <c r="K111" i="5"/>
  <c r="J111" i="5"/>
  <c r="D111" i="5"/>
  <c r="F111" i="5" s="1"/>
  <c r="K110" i="5"/>
  <c r="J110" i="5"/>
  <c r="J109" i="5"/>
  <c r="D108" i="5"/>
  <c r="F108" i="5" s="1"/>
  <c r="K107" i="5"/>
  <c r="J107" i="5"/>
  <c r="D107" i="5"/>
  <c r="F107" i="5" s="1"/>
  <c r="K106" i="5"/>
  <c r="J106" i="5"/>
  <c r="D106" i="5"/>
  <c r="F106" i="5" s="1"/>
  <c r="K104" i="5"/>
  <c r="J104" i="5"/>
  <c r="D104" i="5"/>
  <c r="F104" i="5" s="1"/>
  <c r="K103" i="5"/>
  <c r="J103" i="5"/>
  <c r="K102" i="5"/>
  <c r="D102" i="5"/>
  <c r="F102" i="5" s="1"/>
  <c r="K100" i="5"/>
  <c r="D100" i="5"/>
  <c r="F100" i="5" s="1"/>
  <c r="K97" i="5"/>
  <c r="J97" i="5"/>
  <c r="D97" i="5"/>
  <c r="F97" i="5" s="1"/>
  <c r="J96" i="5"/>
  <c r="J94" i="5"/>
  <c r="D94" i="5"/>
  <c r="F94" i="5" s="1"/>
  <c r="J92" i="5"/>
  <c r="D92" i="5"/>
  <c r="F92" i="5" s="1"/>
  <c r="K90" i="5"/>
  <c r="D89" i="5"/>
  <c r="F89" i="5" s="1"/>
  <c r="K87" i="5"/>
  <c r="J87" i="5"/>
  <c r="K85" i="5"/>
  <c r="D85" i="5"/>
  <c r="F85" i="5" s="1"/>
  <c r="K84" i="5"/>
  <c r="D84" i="5"/>
  <c r="F84" i="5" s="1"/>
  <c r="K83" i="5"/>
  <c r="D83" i="5"/>
  <c r="F83" i="5" s="1"/>
  <c r="K80" i="5"/>
  <c r="J80" i="5"/>
  <c r="D80" i="5"/>
  <c r="F80" i="5" s="1"/>
  <c r="D79" i="5"/>
  <c r="F79" i="5" s="1"/>
  <c r="K78" i="5"/>
  <c r="D78" i="5"/>
  <c r="F78" i="5" s="1"/>
  <c r="J77" i="5"/>
  <c r="D77" i="5"/>
  <c r="F77" i="5" s="1"/>
  <c r="J76" i="5"/>
  <c r="D76" i="5"/>
  <c r="F76" i="5" s="1"/>
  <c r="J75" i="5"/>
  <c r="D75" i="5"/>
  <c r="F75" i="5" s="1"/>
  <c r="J74" i="5"/>
  <c r="D73" i="5"/>
  <c r="F73" i="5" s="1"/>
  <c r="J71" i="5"/>
  <c r="D71" i="5"/>
  <c r="F71" i="5" s="1"/>
  <c r="D70" i="5"/>
  <c r="F70" i="5" s="1"/>
  <c r="D69" i="5"/>
  <c r="F69" i="5" s="1"/>
  <c r="K68" i="5"/>
  <c r="D68" i="5"/>
  <c r="F68" i="5" s="1"/>
  <c r="K67" i="5"/>
  <c r="D67" i="5"/>
  <c r="F67" i="5" s="1"/>
  <c r="K66" i="5"/>
  <c r="J66" i="5"/>
  <c r="D66" i="5"/>
  <c r="F66" i="5" s="1"/>
  <c r="K65" i="5"/>
  <c r="J65" i="5"/>
  <c r="D65" i="5"/>
  <c r="F65" i="5" s="1"/>
  <c r="K64" i="5"/>
  <c r="J64" i="5"/>
  <c r="D64" i="5"/>
  <c r="F64" i="5" s="1"/>
  <c r="K63" i="5"/>
  <c r="D63" i="5"/>
  <c r="F63" i="5" s="1"/>
  <c r="K62" i="5"/>
  <c r="D62" i="5"/>
  <c r="F62" i="5" s="1"/>
  <c r="J60" i="5"/>
  <c r="D60" i="5"/>
  <c r="F60" i="5" s="1"/>
  <c r="J58" i="5"/>
  <c r="D58" i="5"/>
  <c r="F58" i="5" s="1"/>
  <c r="K57" i="5"/>
  <c r="J57" i="5"/>
  <c r="D57" i="5"/>
  <c r="F57" i="5" s="1"/>
  <c r="K56" i="5"/>
  <c r="J56" i="5"/>
  <c r="D56" i="5"/>
  <c r="F56" i="5" s="1"/>
  <c r="J55" i="5"/>
  <c r="D55" i="5"/>
  <c r="F55" i="5" s="1"/>
  <c r="K54" i="5"/>
  <c r="K52" i="5"/>
  <c r="J52" i="5"/>
  <c r="J51" i="5"/>
  <c r="D51" i="5"/>
  <c r="F51" i="5" s="1"/>
  <c r="K50" i="5"/>
  <c r="J50" i="5"/>
  <c r="D50" i="5"/>
  <c r="F50" i="5" s="1"/>
  <c r="K49" i="5"/>
  <c r="J49" i="5"/>
  <c r="D49" i="5"/>
  <c r="F49" i="5" s="1"/>
  <c r="K46" i="5"/>
  <c r="J46" i="5"/>
  <c r="K44" i="5"/>
  <c r="J44" i="5"/>
  <c r="D44" i="5"/>
  <c r="F44" i="5" s="1"/>
  <c r="J37" i="5"/>
  <c r="D37" i="5"/>
  <c r="F37" i="5" s="1"/>
  <c r="J36" i="5"/>
  <c r="D36" i="5"/>
  <c r="F36" i="5" s="1"/>
  <c r="J33" i="5"/>
  <c r="D33" i="5"/>
  <c r="F33" i="5" s="1"/>
  <c r="J32" i="5"/>
  <c r="D32" i="5"/>
  <c r="F32" i="5" s="1"/>
  <c r="J31" i="5"/>
  <c r="D31" i="5"/>
  <c r="F31" i="5" s="1"/>
  <c r="J30" i="5"/>
  <c r="D30" i="5"/>
  <c r="F30" i="5" s="1"/>
  <c r="J29" i="5"/>
  <c r="D29" i="5"/>
  <c r="F29" i="5" s="1"/>
  <c r="J14" i="5"/>
  <c r="D14" i="5"/>
  <c r="F14" i="5" s="1"/>
  <c r="K121" i="5" l="1"/>
  <c r="J121" i="5"/>
  <c r="D121" i="5"/>
  <c r="F121" i="5" s="1"/>
</calcChain>
</file>

<file path=xl/sharedStrings.xml><?xml version="1.0" encoding="utf-8"?>
<sst xmlns="http://schemas.openxmlformats.org/spreadsheetml/2006/main" count="4117" uniqueCount="644">
  <si>
    <t>Період</t>
  </si>
  <si>
    <t>Найменування юридичної особи (або позначення фізичної особи)</t>
  </si>
  <si>
    <t>Благодійні пожертви, що були отримані закладом охорони здоров'я від фізичних та юридичних осіб</t>
  </si>
  <si>
    <t>В грошовій формі, тис.грн.</t>
  </si>
  <si>
    <t>В натуральній формі (товари і послуги), тис.грн.</t>
  </si>
  <si>
    <t>Перелік товарів і послуг в натуральній формі</t>
  </si>
  <si>
    <t>Всього отримано благодійних пожертв, тис.грн.</t>
  </si>
  <si>
    <t>Використання закладом  охорони здоров'я благодійних пожертв, отриманих у грошовій та натуральній (товари і послуги) формі</t>
  </si>
  <si>
    <t>Навпрямки використання у грошовій формі (стаття витрат)</t>
  </si>
  <si>
    <t>Сума, тис.грн.</t>
  </si>
  <si>
    <t xml:space="preserve">Перелік використаних товарів та послуг у натуральній формі </t>
  </si>
  <si>
    <t>Залишок невикористаних грошових коштів, товарів та послуг на кінець звітного періоду, тис.грн.</t>
  </si>
  <si>
    <t>ІІ квартал</t>
  </si>
  <si>
    <t>І квартал</t>
  </si>
  <si>
    <t>ІІІ квартал</t>
  </si>
  <si>
    <t>ІV квартал</t>
  </si>
  <si>
    <t>Всього за рік</t>
  </si>
  <si>
    <t>Х</t>
  </si>
  <si>
    <t>ІНФОРМАЦІЯ</t>
  </si>
  <si>
    <t>Додаток</t>
  </si>
  <si>
    <t>до наказу Міністерства охорони здоров'я України</t>
  </si>
  <si>
    <t>25.07.2017 №848</t>
  </si>
  <si>
    <t>ФОП Качур  А.М</t>
  </si>
  <si>
    <t xml:space="preserve">Комплект TOTALPLUS комбінований-7500 CPM , 25 калібру з клапанами </t>
  </si>
  <si>
    <t>Висколон</t>
  </si>
  <si>
    <t>Зонд лазерний</t>
  </si>
  <si>
    <t>Комбінований комплект COMBINEPAC</t>
  </si>
  <si>
    <t>Ніж зігнутий для тонельного розрізу  20G</t>
  </si>
  <si>
    <t>Розчин для іригації ока BBS PLUS</t>
  </si>
  <si>
    <t>Троакар 25 G</t>
  </si>
  <si>
    <t xml:space="preserve">Тутопласт </t>
  </si>
  <si>
    <t>Шовк 4/0</t>
  </si>
  <si>
    <t>Шовк 5/0</t>
  </si>
  <si>
    <t>ТОВ "ВЕЛТА ТРЕЙДІНГ"</t>
  </si>
  <si>
    <t>AKREOS Асферична інтроокулярна лінза</t>
  </si>
  <si>
    <t>Viscojekt (віскот+картридж)</t>
  </si>
  <si>
    <t>Вискот</t>
  </si>
  <si>
    <t>Зонд лазерний 25G</t>
  </si>
  <si>
    <t>Наконечний з м'яким кінчиком 25G</t>
  </si>
  <si>
    <t>Нейлон моно  10/0</t>
  </si>
  <si>
    <t>Ніж зігнутий для тонельного розрізу  2,2</t>
  </si>
  <si>
    <t>Провіск</t>
  </si>
  <si>
    <t>Ретрактор райдужної оболонки гнучкий</t>
  </si>
  <si>
    <t>Силіконове масло</t>
  </si>
  <si>
    <t>Система введення з клапоном 25 калібру</t>
  </si>
  <si>
    <t>ДП "Біоімплант" МОЗ України</t>
  </si>
  <si>
    <t>"Кератобіом-плантат" №ДН1/357/18R</t>
  </si>
  <si>
    <t>Благодійний фонд "Здоров'я України"</t>
  </si>
  <si>
    <r>
      <t xml:space="preserve">                             </t>
    </r>
    <r>
      <rPr>
        <u/>
        <sz val="14"/>
        <color indexed="8"/>
        <rFont val="Times New Roman"/>
        <family val="1"/>
        <charset val="204"/>
      </rPr>
      <t xml:space="preserve">КЗ "Дніпропетровська обласна клінічна офтальмологічна лікарня " за І квартал 2018 року </t>
    </r>
  </si>
  <si>
    <t xml:space="preserve">                  про надходження і використання благодійних пожертв від фізичних та юридичних осіб</t>
  </si>
  <si>
    <t xml:space="preserve">                                                          найменування закладу охорони здоров'я</t>
  </si>
  <si>
    <t>Алкаїн очні краплі</t>
  </si>
  <si>
    <t>Аміаку розчин</t>
  </si>
  <si>
    <t>Анальгін</t>
  </si>
  <si>
    <t>Бахіли №50</t>
  </si>
  <si>
    <t>Бетадін фл 120 мл</t>
  </si>
  <si>
    <t>Бинт н/ст 7х14</t>
  </si>
  <si>
    <t>Бупівакаїн 5 мг/мл</t>
  </si>
  <si>
    <t>Відісік очний гель</t>
  </si>
  <si>
    <t>Гепарин-Індіар</t>
  </si>
  <si>
    <t xml:space="preserve">Дексаметазон №10 </t>
  </si>
  <si>
    <t>Дексаметазон очні краплі</t>
  </si>
  <si>
    <t>Димедрол амп №10</t>
  </si>
  <si>
    <t>Енап амп №5</t>
  </si>
  <si>
    <t>Етамзілат амп №10</t>
  </si>
  <si>
    <t>Канюля в/в G16</t>
  </si>
  <si>
    <t>Кордарон амп</t>
  </si>
  <si>
    <t>Лазикс Нео №10</t>
  </si>
  <si>
    <t>Ларингеальна  маска р.1</t>
  </si>
  <si>
    <t>Лідокаїн амп№10</t>
  </si>
  <si>
    <t>Маска</t>
  </si>
  <si>
    <t>Метранідазол 100 мл</t>
  </si>
  <si>
    <t>Натрія хлорид 0,9% 200 мл</t>
  </si>
  <si>
    <t>Натрія хлорид амп №10</t>
  </si>
  <si>
    <t>Но-х-ша амп №5</t>
  </si>
  <si>
    <t>Но-шпа амп №25</t>
  </si>
  <si>
    <t>Ондасетрон амп</t>
  </si>
  <si>
    <t>Офтавікс очні краплі</t>
  </si>
  <si>
    <t>Офтимол очні краплі</t>
  </si>
  <si>
    <t>Палички ватні №200</t>
  </si>
  <si>
    <t>Пелюшка 40х60см  №30</t>
  </si>
  <si>
    <t>Пилокарпин очні краплі</t>
  </si>
  <si>
    <t xml:space="preserve">Пластир медичний </t>
  </si>
  <si>
    <t>Повітровід 100 мм</t>
  </si>
  <si>
    <t>Повітровід 110 мм</t>
  </si>
  <si>
    <t>Повітровід 90 мм</t>
  </si>
  <si>
    <t>Подовжувач для інф.магістр.</t>
  </si>
  <si>
    <t xml:space="preserve">Пропофол фл №5  </t>
  </si>
  <si>
    <t>Протаміну сульфат  1000 Мо/мл по 10 мл</t>
  </si>
  <si>
    <t xml:space="preserve">Розчин Рінгера 400 мл </t>
  </si>
  <si>
    <t>Септил 70% по 100 мл</t>
  </si>
  <si>
    <t>Солкосерил очний гель</t>
  </si>
  <si>
    <t>Стерофундин №10</t>
  </si>
  <si>
    <t>Фармадекс очні краплі</t>
  </si>
  <si>
    <t>Фенефрін очні краплі</t>
  </si>
  <si>
    <t>Фленокс шприць №10</t>
  </si>
  <si>
    <t>Флоксал очні краплі</t>
  </si>
  <si>
    <t>Фуосемід  амп №10</t>
  </si>
  <si>
    <t>Халат хір. 120х158 см</t>
  </si>
  <si>
    <t>Цефоктам 0,75г</t>
  </si>
  <si>
    <t xml:space="preserve">Цефоктам фл </t>
  </si>
  <si>
    <t>Шапочка-берет</t>
  </si>
  <si>
    <t>Шприць 5,0 мл</t>
  </si>
  <si>
    <t>Шприць 20 мл</t>
  </si>
  <si>
    <t xml:space="preserve">Шприць 2,0 мл </t>
  </si>
  <si>
    <t>Шприць 1,0  м</t>
  </si>
  <si>
    <t>Шприць 10 мл</t>
  </si>
  <si>
    <t>Атропін амп №10</t>
  </si>
  <si>
    <t xml:space="preserve">Ватні палички </t>
  </si>
  <si>
    <t>Глюкоза амп №10</t>
  </si>
  <si>
    <t>Волонтерський рух "Блюз за Україну"</t>
  </si>
  <si>
    <t>Рукавички хір. стер. 8,0</t>
  </si>
  <si>
    <t>Рукавички хір.стер. 7,0</t>
  </si>
  <si>
    <t>Ніж   20G</t>
  </si>
  <si>
    <t xml:space="preserve">Мікрохвильова піч </t>
  </si>
  <si>
    <t>Наконечник з м'яким кінч 25G</t>
  </si>
  <si>
    <t>Наконечник з м'яким кінч. 25G</t>
  </si>
  <si>
    <t>Вкладиш -імплант орбітальний політе-трфторутіленовий</t>
  </si>
  <si>
    <t xml:space="preserve">Комплект для бімануальних маніпул UltraFlow </t>
  </si>
  <si>
    <t>Viscojekt (віскот+ картридж)</t>
  </si>
  <si>
    <t>Натрія гідрокарб. 200 мл</t>
  </si>
  <si>
    <t>Пелюшки сечопоглин. №30</t>
  </si>
  <si>
    <t>Подовжувач для інф.магіст.</t>
  </si>
  <si>
    <t>Рукавички хір.лат.прип. 6,5</t>
  </si>
  <si>
    <t>Рукавички хір.лат.прип. 7,0</t>
  </si>
  <si>
    <t>Рукавички хір.лат.прип. 7,5</t>
  </si>
  <si>
    <t>Рукавички хір.лат.прип. 8,5</t>
  </si>
  <si>
    <t>Рукавички хір.лат.прип. стер. 7,0</t>
  </si>
  <si>
    <t>Рукавички хір.лат.прип. стер. 8,0</t>
  </si>
  <si>
    <t>Фізичні особи</t>
  </si>
  <si>
    <t>Директор</t>
  </si>
  <si>
    <t>Головний бухгалтер</t>
  </si>
  <si>
    <t>Зам. директора з ЕП</t>
  </si>
  <si>
    <t xml:space="preserve"> Сердюк В.М.</t>
  </si>
  <si>
    <t xml:space="preserve"> Горова Г.І.</t>
  </si>
  <si>
    <t xml:space="preserve"> Магдич С.Ю.</t>
  </si>
  <si>
    <t>Мікрохвильова піч (знаходиться в експлуатації)</t>
  </si>
  <si>
    <r>
      <t xml:space="preserve">                             </t>
    </r>
    <r>
      <rPr>
        <u/>
        <sz val="14"/>
        <color indexed="8"/>
        <rFont val="Times New Roman"/>
        <family val="1"/>
        <charset val="204"/>
      </rPr>
      <t xml:space="preserve">КЗ "Дніпропетровська обласна клінічна офтальмологічна лікарня " за І,ІІ квартал 2018 року </t>
    </r>
  </si>
  <si>
    <t>КОНЗ "Іларіонівска ЗОШ І-ІІІ ступенів"</t>
  </si>
  <si>
    <t>Комплект TOTALPLUS , 25 калібру</t>
  </si>
  <si>
    <t>Пеленка 60х60</t>
  </si>
  <si>
    <t>Покриття операційне з адигезив.отв.</t>
  </si>
  <si>
    <t>Розчин BSS Plus 480мл</t>
  </si>
  <si>
    <t>"Кератобіомплантат" №ДН1/910/18R</t>
  </si>
  <si>
    <t>наконечник з м'яким кінч 25G</t>
  </si>
  <si>
    <t>Ніж 20 G</t>
  </si>
  <si>
    <t>Полигликолит 7/0</t>
  </si>
  <si>
    <t>Ніж зігнутий для тонельного розрізу 2,2</t>
  </si>
  <si>
    <t>Алкаїн очні краплі 0,5% 15мл</t>
  </si>
  <si>
    <t xml:space="preserve">Анальгін амп №10 </t>
  </si>
  <si>
    <t>Атропин амп №10</t>
  </si>
  <si>
    <t>Бахіли</t>
  </si>
  <si>
    <t>Бетадин 10% фл 120 мл</t>
  </si>
  <si>
    <t>Бупівакаїн №5</t>
  </si>
  <si>
    <t>Гентпміцин амп №10</t>
  </si>
  <si>
    <t>Гідрокартизону ацетат амп №10</t>
  </si>
  <si>
    <t>Гліцерин 85 %</t>
  </si>
  <si>
    <t>Гліцерин фл 25г</t>
  </si>
  <si>
    <t>Дексаметазон амп №10</t>
  </si>
  <si>
    <t>Дексаметазон амп №5</t>
  </si>
  <si>
    <t>Депос амп №5</t>
  </si>
  <si>
    <t>Димедрл амп №10</t>
  </si>
  <si>
    <t xml:space="preserve">Зонд  шлунковий </t>
  </si>
  <si>
    <t>канюля в/в G20</t>
  </si>
  <si>
    <t xml:space="preserve">Кран трехходовой </t>
  </si>
  <si>
    <t>Лейкопластирь 1,25*5</t>
  </si>
  <si>
    <t>Лейкопластирь 3*500</t>
  </si>
  <si>
    <t>Манніт-Новофарм</t>
  </si>
  <si>
    <t>Манніт-Новофарм фл 200 мл</t>
  </si>
  <si>
    <t>Маска захисна з-х слойна №100</t>
  </si>
  <si>
    <t>Надглотковий повітровод р.1</t>
  </si>
  <si>
    <t>Натрію хлорид амп №10</t>
  </si>
  <si>
    <t>Натрію хлорид 0,9% 200мл</t>
  </si>
  <si>
    <t>Ондасетрон  амп №10</t>
  </si>
  <si>
    <t>Ондасетрон  амп №5</t>
  </si>
  <si>
    <t>Офтимол очні краплі 5 мг/мл 10мл</t>
  </si>
  <si>
    <t>Перекис водню розчин 3% по 100 мл</t>
  </si>
  <si>
    <t>Перекис водню розчин 3% по 40 мл</t>
  </si>
  <si>
    <t>Пілокарпін очні краплі</t>
  </si>
  <si>
    <t>Пластир медичний 1х500</t>
  </si>
  <si>
    <t>Пластир медичний 3х500</t>
  </si>
  <si>
    <t>Пластир медичний</t>
  </si>
  <si>
    <t>Пропофол-Ново фл №5</t>
  </si>
  <si>
    <t>Рукавички хірургічні латексні припудрені р.8.0</t>
  </si>
  <si>
    <t>Рукавички хірургічні латексні припудрені 8.0</t>
  </si>
  <si>
    <t>Рукавички хірургічні стерильні  припудрені р.6.5</t>
  </si>
  <si>
    <t>Рукавички хірургічні стерильні  припудрені р.7.0</t>
  </si>
  <si>
    <t>Септил  100 мл</t>
  </si>
  <si>
    <t>Септил  100 мл 70%</t>
  </si>
  <si>
    <t>Тракріум амп 10 мг/мл 2.5 мл №5</t>
  </si>
  <si>
    <t>Флоксал очна мазь</t>
  </si>
  <si>
    <t>Фуросемід амп №10</t>
  </si>
  <si>
    <t>Халат хірургічний</t>
  </si>
  <si>
    <t>Цефоктам 0.75 г фл №5</t>
  </si>
  <si>
    <t>Цефоктам фл №1</t>
  </si>
  <si>
    <t>Цефоктам фл №5</t>
  </si>
  <si>
    <t>Цикломед очні краплі</t>
  </si>
  <si>
    <t>Феноферін очні краплі</t>
  </si>
  <si>
    <t>Ципрофрм очні краплі 0,3% 10 мл</t>
  </si>
  <si>
    <t>Шприць 1,0</t>
  </si>
  <si>
    <t>Шприць 1,0 мл</t>
  </si>
  <si>
    <t xml:space="preserve">Шприць 5,0 мл </t>
  </si>
  <si>
    <t>Шприць 20,0</t>
  </si>
  <si>
    <t>Шприць 10,0</t>
  </si>
  <si>
    <t>Рукавички хірургічні стерильні  припудрені р.7.5</t>
  </si>
  <si>
    <t>Рукавички хірургічні стерильні  припудрені р.8.5</t>
  </si>
  <si>
    <t>Адреналін амп №10</t>
  </si>
  <si>
    <t>Альбумін 100 мл 10%</t>
  </si>
  <si>
    <t>Аміаку розчин 10%</t>
  </si>
  <si>
    <t>Аміназин р-н д/ін  25% по 2 мл №10</t>
  </si>
  <si>
    <t>Атропіну сульфат амп №10</t>
  </si>
  <si>
    <t>Бупівакаїн амп №10</t>
  </si>
  <si>
    <t>Гентаміцин амп №10</t>
  </si>
  <si>
    <t>Гепарин-Індіар №5</t>
  </si>
  <si>
    <t>Гліцерин 85%</t>
  </si>
  <si>
    <t>Деппос амп №5</t>
  </si>
  <si>
    <t>Канюля в/в G 16</t>
  </si>
  <si>
    <t>Канюля в/в G 22</t>
  </si>
  <si>
    <t>Кеналог амп №5</t>
  </si>
  <si>
    <t>Клейона медиц.2м</t>
  </si>
  <si>
    <t>Кордарон амп №6</t>
  </si>
  <si>
    <t>Ларингеальна маска р.1</t>
  </si>
  <si>
    <t>Лінза інтраокулярна US-101</t>
  </si>
  <si>
    <t>Лінза інтраокулярна М/М</t>
  </si>
  <si>
    <t xml:space="preserve">Маска </t>
  </si>
  <si>
    <t>Мезатон амп №10</t>
  </si>
  <si>
    <t>Надглотковий повітровод р.1,5</t>
  </si>
  <si>
    <t>Натрію гідрокарбонат №200</t>
  </si>
  <si>
    <t>Натрію хлорид 200 мл</t>
  </si>
  <si>
    <t>Нітрогліцерин №10</t>
  </si>
  <si>
    <t>Ношпа амп №25</t>
  </si>
  <si>
    <t xml:space="preserve">Ондасетрон амп №10 </t>
  </si>
  <si>
    <t xml:space="preserve">Ондасетрон амп №5 </t>
  </si>
  <si>
    <t>Пелюшки 40х60 см</t>
  </si>
  <si>
    <t>Пластир мед.</t>
  </si>
  <si>
    <t>Повітровід 80  мм</t>
  </si>
  <si>
    <t>За рахунок залишку благодійних внесків за минулі періоди</t>
  </si>
  <si>
    <t>Повітровід 90  мм</t>
  </si>
  <si>
    <t>Повітровід 70  мм</t>
  </si>
  <si>
    <t>Рукавички хір.лат.припудр. р. 6.5</t>
  </si>
  <si>
    <t>Рукавички хір.лат.припудр. р. 7.0</t>
  </si>
  <si>
    <t>Рукавички хір.лат.припудр. р. 7.5</t>
  </si>
  <si>
    <t>Рукавички хір.лат.припудр.стер. р. 8.0</t>
  </si>
  <si>
    <t>Рукавички хір.стер.припудр. р. 7.0</t>
  </si>
  <si>
    <t>Силіконова ларенгіальна маска р.1.5</t>
  </si>
  <si>
    <t>Теалое Дуо 10мл</t>
  </si>
  <si>
    <t>Тракриум амп №5</t>
  </si>
  <si>
    <t xml:space="preserve">Фленокс шприць №10 </t>
  </si>
  <si>
    <t>Цефоктам</t>
  </si>
  <si>
    <t>Цефуроксим 0.75 г</t>
  </si>
  <si>
    <t>Шапочки медичні</t>
  </si>
  <si>
    <t>Шприць 1.0 3-х компон.</t>
  </si>
  <si>
    <t>Шприць 2.0</t>
  </si>
  <si>
    <t>Шприць 1.0</t>
  </si>
  <si>
    <t>Шприць 20.0</t>
  </si>
  <si>
    <t>Шприць 10.0</t>
  </si>
  <si>
    <t xml:space="preserve">Блефагель </t>
  </si>
  <si>
    <t>Фуросмід амп №10</t>
  </si>
  <si>
    <t>EX-PRESS,P-200 24203</t>
  </si>
  <si>
    <t>Придбання *: бланки медичні, статистичні</t>
  </si>
  <si>
    <t xml:space="preserve"> холодильники з морозильною камерою ВЕКО</t>
  </si>
  <si>
    <t>дивани для пацієнтів</t>
  </si>
  <si>
    <t>візок грузовий універсальний</t>
  </si>
  <si>
    <t>лампи люмінесцентні</t>
  </si>
  <si>
    <t>ІІ Квартал</t>
  </si>
  <si>
    <t>Анальгін амп №10</t>
  </si>
  <si>
    <t xml:space="preserve">Атропину сульфат </t>
  </si>
  <si>
    <t>Біхіли</t>
  </si>
  <si>
    <t>Бетадін</t>
  </si>
  <si>
    <t>Блефагель, стер.гель</t>
  </si>
  <si>
    <t>Ватні палички</t>
  </si>
  <si>
    <t>Відісік очний галь</t>
  </si>
  <si>
    <t>Гідрокартизон ацетат</t>
  </si>
  <si>
    <t>Гліцерин</t>
  </si>
  <si>
    <t>Канюля в/в</t>
  </si>
  <si>
    <t>Клейонка медична</t>
  </si>
  <si>
    <t>Кран 3-х ходовой</t>
  </si>
  <si>
    <t>Лейкопластир</t>
  </si>
  <si>
    <t>Ларенгеальна маска р.2</t>
  </si>
  <si>
    <t>Ларенгеальна маска р.5</t>
  </si>
  <si>
    <t>Лідокаїн амп №10</t>
  </si>
  <si>
    <t>Натрія хлорид</t>
  </si>
  <si>
    <t>Нохшаверін амп №5</t>
  </si>
  <si>
    <t>Ондасетрон амп №10</t>
  </si>
  <si>
    <t>Офтавікс</t>
  </si>
  <si>
    <t>Офтімол очні краплі</t>
  </si>
  <si>
    <t>Пелюшка гігієн.</t>
  </si>
  <si>
    <t>Пропофол -Ново фл №5</t>
  </si>
  <si>
    <t>Розчин Рінгера 400 мл</t>
  </si>
  <si>
    <t xml:space="preserve">Рукавички </t>
  </si>
  <si>
    <t>Септил</t>
  </si>
  <si>
    <t>Теалое Дуо</t>
  </si>
  <si>
    <t>Цефоктам 0.75 г.</t>
  </si>
  <si>
    <t>Шапочки</t>
  </si>
  <si>
    <t>Шприць 1,0 3-х компонентний</t>
  </si>
  <si>
    <t>Шприць 5,0</t>
  </si>
  <si>
    <t xml:space="preserve">Шприць 1,0 </t>
  </si>
  <si>
    <t xml:space="preserve">Придбання по статті витрат 2210 "Предмети, матеріали ,обладнання та інвентар", а саме: </t>
  </si>
  <si>
    <t>Член комісії з реорганізації,</t>
  </si>
  <si>
    <t>заст.директора з мед.частини</t>
  </si>
  <si>
    <t>Устименко С.Б.</t>
  </si>
  <si>
    <t>Зам. директора з економ.питань</t>
  </si>
  <si>
    <t>BL5113 Комплект для факоем.мікрор.</t>
  </si>
  <si>
    <t>BBS розчин для ірігації ока</t>
  </si>
  <si>
    <t>TOTALPLUS -7500 CPM 25  з канюлями</t>
  </si>
  <si>
    <t xml:space="preserve">Комплект UltraFlow </t>
  </si>
  <si>
    <t>Біолонг "Шкірний антисептик"</t>
  </si>
  <si>
    <t>Ватні палички №200</t>
  </si>
  <si>
    <t>Вісколон</t>
  </si>
  <si>
    <t>Віскот</t>
  </si>
  <si>
    <t xml:space="preserve">Гентаміцин </t>
  </si>
  <si>
    <t>Гепарин Новофарм №5</t>
  </si>
  <si>
    <t>Гідрокартизон ацетат амп №10</t>
  </si>
  <si>
    <t>Дипроспан амп №5</t>
  </si>
  <si>
    <t xml:space="preserve">Зонд лазерний </t>
  </si>
  <si>
    <t>Інжектор Bluemixe</t>
  </si>
  <si>
    <t>Інтраокулярна лінза AT Lisa</t>
  </si>
  <si>
    <t>Канюля G16</t>
  </si>
  <si>
    <t>Канюля G22</t>
  </si>
  <si>
    <t>Кільце інтракапсулярне ІК 10</t>
  </si>
  <si>
    <t>Клейона мед.2м.</t>
  </si>
  <si>
    <t>Комплект TOTALPLUS комбінований-7500 CPM</t>
  </si>
  <si>
    <t>Корнерегель очний гель</t>
  </si>
  <si>
    <t xml:space="preserve">Кран трехходовий </t>
  </si>
  <si>
    <t>Лейкопластир 1,25Х5</t>
  </si>
  <si>
    <t>Манніт -Новофарм фл 200мл</t>
  </si>
  <si>
    <t>Матеріал віскоеластичний  для офт Provisc</t>
  </si>
  <si>
    <t>Наркозна маска р.5 аромат ванілі</t>
  </si>
  <si>
    <t>Ніж зігнутий для тон.розрізу 20 G</t>
  </si>
  <si>
    <t>Ніж трапецевийдний 1.6-1.8 мм</t>
  </si>
  <si>
    <t>Ондасетрон амп №5</t>
  </si>
  <si>
    <t>Перекис водню 3% по 100 мл</t>
  </si>
  <si>
    <t>Полігліколіт 7/0</t>
  </si>
  <si>
    <t>Рингенра р-р</t>
  </si>
  <si>
    <t>Розчин BBS Plus 480  мл</t>
  </si>
  <si>
    <t>Розчин офтальмологічний віскоеластичний Вісколон</t>
  </si>
  <si>
    <t>Рукавички хір.стер.припудрені</t>
  </si>
  <si>
    <t>Система введення з клапаном 25 калібру</t>
  </si>
  <si>
    <t xml:space="preserve">Ультракаїн Д-С Форте </t>
  </si>
  <si>
    <t>Ципрофарм очні краплі</t>
  </si>
  <si>
    <t>Шприць інсуліновий</t>
  </si>
  <si>
    <t>Шприць 1 мл U-40</t>
  </si>
  <si>
    <t>Послуги з проектування, мотажу і введення в дію системи пожежгої сигналізації</t>
  </si>
  <si>
    <t>Послуги з дієтичного харчування</t>
  </si>
  <si>
    <t>Халат медичний (р.58-60)</t>
  </si>
  <si>
    <t>Пелюшки гігієнічні 90см х60смх60см №30</t>
  </si>
  <si>
    <r>
      <t xml:space="preserve">                             </t>
    </r>
    <r>
      <rPr>
        <u/>
        <sz val="14"/>
        <color indexed="8"/>
        <rFont val="Times New Roman"/>
        <family val="1"/>
        <charset val="204"/>
      </rPr>
      <t xml:space="preserve">КЗ "Дніпропетровська обласна клінічна офтальмологічна лікарня " за І,ІІ,ІІІ квартал 2018 року </t>
    </r>
  </si>
  <si>
    <t>Голова комісії з реорганізації,</t>
  </si>
  <si>
    <t>директор</t>
  </si>
  <si>
    <t>Сердюк В.М.</t>
  </si>
  <si>
    <t>Член комісії з реорганізації ,</t>
  </si>
  <si>
    <t>заст.директора з економ.питань</t>
  </si>
  <si>
    <t>головний бухгалтер</t>
  </si>
  <si>
    <t>Алкаїн оч.краплі 0,5 % 15мл</t>
  </si>
  <si>
    <t xml:space="preserve">Анестезіологічна лицьова маска </t>
  </si>
  <si>
    <t>АХД 2000 помаранчевий 1000мл</t>
  </si>
  <si>
    <t>Біолонг "Шкірний антисептик" 1л</t>
  </si>
  <si>
    <t xml:space="preserve">Ватні палички №200  </t>
  </si>
  <si>
    <t>Гентаміцину сульфат амп №10</t>
  </si>
  <si>
    <t>Гліцерин 85% фл 25г</t>
  </si>
  <si>
    <t>Диклофенак Дарниця 25 мг/мл</t>
  </si>
  <si>
    <t>Інтравен.канюля G20  рожева</t>
  </si>
  <si>
    <t>Інтравен.канюля G25  рожева</t>
  </si>
  <si>
    <t>Канюля BD Venfion G 22</t>
  </si>
  <si>
    <t>Канюля в/в G 24</t>
  </si>
  <si>
    <t>Катетор Нелатона р.Fr14</t>
  </si>
  <si>
    <t>Катетор Нелатона р.Fr16</t>
  </si>
  <si>
    <t>Лідокаїн спрей 10%</t>
  </si>
  <si>
    <t>Маски</t>
  </si>
  <si>
    <t>Пелюшка №30</t>
  </si>
  <si>
    <t>Пластир мед.2см х500 см</t>
  </si>
  <si>
    <t>Стерофундін ISO</t>
  </si>
  <si>
    <t>Трубка ендотрахіальна з манж. р.6.5</t>
  </si>
  <si>
    <t>Трубка ендотрахіальна з манж. р.7.5</t>
  </si>
  <si>
    <t>Ультракаїн №100</t>
  </si>
  <si>
    <t>Шприць 5.0</t>
  </si>
  <si>
    <t>Електронні інформаційні послуги (розробка дизайну зовн.вигляду сторінки; Контентне наповнення та тех.підтримка сторінки, просування сторінки, контексна реклама на Google,SMM -просування сайту )</t>
  </si>
  <si>
    <t>Пелюшка 90*60 №30</t>
  </si>
  <si>
    <t>Шафа книжна</t>
  </si>
  <si>
    <t>Шафа медична</t>
  </si>
  <si>
    <t>Вішалка металева</t>
  </si>
  <si>
    <t>Стіл палатний</t>
  </si>
  <si>
    <t>Тумба велика</t>
  </si>
  <si>
    <t>Кушетка</t>
  </si>
  <si>
    <t>Ліжко дитяче</t>
  </si>
  <si>
    <t>Тумба прикроватна</t>
  </si>
  <si>
    <t>Водонагрівач</t>
  </si>
  <si>
    <t>Сейф</t>
  </si>
  <si>
    <t>Гігрометри</t>
  </si>
  <si>
    <t>Педальне відро</t>
  </si>
  <si>
    <t>Дозатори для рідкого мила</t>
  </si>
  <si>
    <t>Тримач для рушника</t>
  </si>
  <si>
    <t>Відро 12л</t>
  </si>
  <si>
    <t>Відро 8л</t>
  </si>
  <si>
    <t>Жалюзі</t>
  </si>
  <si>
    <t>Відро педальне</t>
  </si>
  <si>
    <t>Люстра</t>
  </si>
  <si>
    <t>Бра</t>
  </si>
  <si>
    <t>Вазон</t>
  </si>
  <si>
    <t>Лампа настільна</t>
  </si>
  <si>
    <t>Покриття для підлоги ПВХ Гіперіон Nevada 1.3м</t>
  </si>
  <si>
    <t>Приватні особи</t>
  </si>
  <si>
    <t>BD Discardit  двокомпонентн.шприц 2</t>
  </si>
  <si>
    <t>BD Discardit  двокомпонентн.шприц 5</t>
  </si>
  <si>
    <t xml:space="preserve">Алкаін.Краплі очні 0.5% по 15мл у фл </t>
  </si>
  <si>
    <t>Анальгін-Дарниця Розчин для ін"єкцій</t>
  </si>
  <si>
    <t>Аскорбінова кислота Розчин</t>
  </si>
  <si>
    <t>Бинт марлевий мед.нестер.</t>
  </si>
  <si>
    <t>Брильянтовий зелений розчин для зовн.зас.</t>
  </si>
  <si>
    <t>Вата нестерильна 100г"Екобинт"Зиг-заг</t>
  </si>
  <si>
    <t>Відісік гель очний 0.2% по 10г у тубі</t>
  </si>
  <si>
    <t>Відріз марлевий мед.нестер.</t>
  </si>
  <si>
    <t>Гентаміцину Сульфат-Дарниця Розчин</t>
  </si>
  <si>
    <t>Глюкоза Розчин для ін"єкц. 40% по 10</t>
  </si>
  <si>
    <t>Дексаметазон-Дарниця Розчин для ін"єкцій</t>
  </si>
  <si>
    <t>Димедрол-Дарниця розчин для ін"єкцій</t>
  </si>
  <si>
    <t>Етамзилат-Дарниця Розч.для ін"єкц.</t>
  </si>
  <si>
    <t>Канюля в/в GA20(1.0 32мм)Венфлон</t>
  </si>
  <si>
    <t>Канюля в/в G18 Medicare</t>
  </si>
  <si>
    <t>Канюля в/в з ін клап.G20</t>
  </si>
  <si>
    <t>Кейвер Розчин для ін"єкцій 50мг/2мл</t>
  </si>
  <si>
    <t>Кордіамін-Дарниця Розч.для ін"єкц.</t>
  </si>
  <si>
    <t>Корнергель очний.50мг/г по 5 г</t>
  </si>
  <si>
    <t>Левоміцетин Краплі очні 0.28%</t>
  </si>
  <si>
    <t>Лідокаїн Розчин для ін"єкцій.10мг/мл</t>
  </si>
  <si>
    <t>Магнію сульфат-Дарницуя.розчин</t>
  </si>
  <si>
    <t>Маніт.Розчин для інфузій 15%</t>
  </si>
  <si>
    <t>Метронідазол Розчин для інфузій 0.5%</t>
  </si>
  <si>
    <t>Натрію хлориду розчин 0.9%</t>
  </si>
  <si>
    <t>Окомістин краплі очні/вушні для носа</t>
  </si>
  <si>
    <t>Офтаквікс Краплі очні 5 мг/мл по 5 мл</t>
  </si>
  <si>
    <t>Пластир медичний RIVERPLAST 2смх50</t>
  </si>
  <si>
    <t>Реосорбілакт Розчин для інфузій по 200м</t>
  </si>
  <si>
    <t>розчин Рінгера Розчин для інфузій</t>
  </si>
  <si>
    <t>Рукавички лат.щглядові н/ст</t>
  </si>
  <si>
    <t>Рукавички мед.лат.хірург.непр.</t>
  </si>
  <si>
    <t>Рукавич.мед.лат.хір.прип.</t>
  </si>
  <si>
    <t>Рукавички хір.лат.р.7</t>
  </si>
  <si>
    <t>Рукавички хірург.латексні хір.пр.</t>
  </si>
  <si>
    <t>Система вливання інфуз розчинів</t>
  </si>
  <si>
    <t>Сульфацил натрію краплі очні 30% по 1</t>
  </si>
  <si>
    <t>Тауфон-Дарниця Краплі.розчин 40</t>
  </si>
  <si>
    <t>Тимолол-Дарниця Краплі очні.розчин</t>
  </si>
  <si>
    <t>Тропікамід-Фармакс краплі очні 1% по 1</t>
  </si>
  <si>
    <t>Флоксал Краплі очні.розч.0.3% по 5мл</t>
  </si>
  <si>
    <t>Флоксал.Мазь очна 0.3% по 3г у тюб.</t>
  </si>
  <si>
    <t>Фуросемід-Дарниця розчин для ін"єкц.</t>
  </si>
  <si>
    <t>Цефоктам.порошок для приг.розч.</t>
  </si>
  <si>
    <t>Ципрофарм.Краплі очні/вушні 0.3% 10мл</t>
  </si>
  <si>
    <t>Цілоксан.краплі очні/вушні 0.35% по 5м</t>
  </si>
  <si>
    <t>Шприц ін"єкц.10мл.двокомпон.</t>
  </si>
  <si>
    <t>Шприц ін"єкц. 20мл.двокомп.</t>
  </si>
  <si>
    <t>Шприц 2мл</t>
  </si>
  <si>
    <t>Шприц ін"єкц.однораз застос.</t>
  </si>
  <si>
    <t>Шприц ін"єкційний</t>
  </si>
  <si>
    <r>
      <t xml:space="preserve">                             </t>
    </r>
    <r>
      <rPr>
        <u/>
        <sz val="14"/>
        <color indexed="8"/>
        <rFont val="Times New Roman"/>
        <family val="1"/>
        <charset val="204"/>
      </rPr>
      <t xml:space="preserve">КЗ "Дніпропетровська обласна клінічна офтальмологічна лікарня " за І,ІІ,ІІІ,ІV квартал 2018 року </t>
    </r>
  </si>
  <si>
    <t>Папір А4 (500л)</t>
  </si>
  <si>
    <r>
      <t xml:space="preserve">                             </t>
    </r>
    <r>
      <rPr>
        <u/>
        <sz val="14"/>
        <color indexed="8"/>
        <rFont val="Times New Roman"/>
        <family val="1"/>
        <charset val="204"/>
      </rPr>
      <t xml:space="preserve">КП "Дніпропетровська обласна клінічна офтальмологічна лікарня " за І квартал 2019 року </t>
    </r>
  </si>
  <si>
    <t>Комплект BL 5113 для факоемульсифікації микророзрізу до 2мм</t>
  </si>
  <si>
    <t>BSS розчин для іригації ока</t>
  </si>
  <si>
    <t>Medicel VISCOJCT Система для введення лінзи одноразового використання, 10/кор.(Інжектор Viscoject + картридж Viscoglide)</t>
  </si>
  <si>
    <t>Вискот 0.5мл</t>
  </si>
  <si>
    <t>Інтроокулярна лінза багатокомпонентна AcrySoft MA60AC</t>
  </si>
  <si>
    <t xml:space="preserve">Інтроокулярна лінза Bi-Flex677 MY </t>
  </si>
  <si>
    <t>Катридж 1.8</t>
  </si>
  <si>
    <t>Комплект TOTALPLUS комбінований 7500 СРМ, 25+калібру з каню лями з клапанами</t>
  </si>
  <si>
    <t>Комплект TOTALPLUS комбінований 1765 СРМ, 25+калібру з каню лями з клапанами</t>
  </si>
  <si>
    <t>Лінза інтракулярна UL-101</t>
  </si>
  <si>
    <t>Матеріал віскоеластичний для офтальмології «Provisc» 0,55ml</t>
  </si>
  <si>
    <t>Нейлон 10/0</t>
  </si>
  <si>
    <t>Нейлон 8/0</t>
  </si>
  <si>
    <t>Ніж зігнутий для тонельного</t>
  </si>
  <si>
    <t>Ніж зігнутий для тонельного розрізу 2.2мм</t>
  </si>
  <si>
    <t>Ніж зігнутий для тонельного  розрізу 20 G</t>
  </si>
  <si>
    <t>Ніж зігнутий для тонельного  розрізу 1.6мм</t>
  </si>
  <si>
    <t>Ніж зігнутий для тонельного  розрізу 5.5 мм</t>
  </si>
  <si>
    <t>Ніж зігнутий для тонельного  розрізу 5.5мм</t>
  </si>
  <si>
    <t xml:space="preserve">Ніж -розшарувач </t>
  </si>
  <si>
    <t>Пелюшка SENI SOFT 60*60см</t>
  </si>
  <si>
    <t>Пінцет 25 G</t>
  </si>
  <si>
    <t>Покриття операційне офтальмологічне 100*70см з адгезивним операційним отвором діаметром 7 см та мішком приймальним, стерильне</t>
  </si>
  <si>
    <t>Поліпропілен 10/0</t>
  </si>
  <si>
    <t>Полігліколід 7/0</t>
  </si>
  <si>
    <t>Пропілен</t>
  </si>
  <si>
    <t>Розчин офтальмологічний віскоеластичний  Viscolon шприц 2 мл.</t>
  </si>
  <si>
    <t>Розчин трипановий синій</t>
  </si>
  <si>
    <t>Силіконове масло, шприц 10мл</t>
  </si>
  <si>
    <t>Система введення канюлі троакару з клапаном, 25 калібру</t>
  </si>
  <si>
    <t>Шелк 5/0</t>
  </si>
  <si>
    <t>Азопірамова проба для перевязки</t>
  </si>
  <si>
    <t>Бинт н/ст 5х10</t>
  </si>
  <si>
    <t>Вата мед.нестерильна "Білосніжка"100 гр</t>
  </si>
  <si>
    <t>Ватні палички  "Білосніжка"№200</t>
  </si>
  <si>
    <t>Гидрокартизон ацетат №10</t>
  </si>
  <si>
    <t>Глюкоза 400 м/г по 20мл №10</t>
  </si>
  <si>
    <t>Дексаметазон №5</t>
  </si>
  <si>
    <t>Етамзілат 125 по 2мл амп №10</t>
  </si>
  <si>
    <t xml:space="preserve">Етамзілат 12.5 по 2мл </t>
  </si>
  <si>
    <t>Канюля в/в G26</t>
  </si>
  <si>
    <t>Канюля в/в G20</t>
  </si>
  <si>
    <t>Канюля в/в G24</t>
  </si>
  <si>
    <t>Корнегель</t>
  </si>
  <si>
    <t>Мезатон №10</t>
  </si>
  <si>
    <t>Метоклопрамід №10</t>
  </si>
  <si>
    <t>Ондасетрон амп№ 5</t>
  </si>
  <si>
    <t>Офтавікс очні краплі 5мг/мл по 5мл у фл.</t>
  </si>
  <si>
    <t>Офтимол очні краплі 5мг/мл 10мл</t>
  </si>
  <si>
    <t>Перекису водню розчин 3% по 100мл</t>
  </si>
  <si>
    <t>Пластир Dr.House 1.25*500 нетк.осн</t>
  </si>
  <si>
    <t>Пластир медичний   2 см *500см</t>
  </si>
  <si>
    <t>Рукавички хір.лат.прип. 8.0</t>
  </si>
  <si>
    <t>Трубка ендотрахеальна MEDICARE (без монжети)</t>
  </si>
  <si>
    <t>Фільтрт вірусно-бакт.стерильн MEDICARE</t>
  </si>
  <si>
    <t>Ципрофарм очні краплі 0.3% 10мл</t>
  </si>
  <si>
    <t>Заст.директора з економ.питань</t>
  </si>
  <si>
    <t>Гідрокартизон ацетат №10</t>
  </si>
  <si>
    <t>Канюля в/в G22</t>
  </si>
  <si>
    <t>Канюля в/в GA20(1,0х32)Венфлон рож. 21,539</t>
  </si>
  <si>
    <t>Канюля в/в GA22(0,8х25)Венфлон син  21,539</t>
  </si>
  <si>
    <t>Маніт Розчин для інфузій  15% по 200мл у пл..склян.36,487</t>
  </si>
  <si>
    <t>Рукавички мед.лат.хір.припуд.стер.Rivergloves р.8 п.№1  4,8685</t>
  </si>
  <si>
    <t>Спирт етиловий 70% роз.спирт.для зовн.застос.по 100мл у фл.18,297</t>
  </si>
  <si>
    <t>Приватна особа</t>
  </si>
  <si>
    <t xml:space="preserve">Випромінювач бактерицидний ЛБК-150    </t>
  </si>
  <si>
    <t xml:space="preserve">Дозатори локтьові       </t>
  </si>
  <si>
    <t xml:space="preserve">Тонометр для вимірювання тиску з фонендоскопом    </t>
  </si>
  <si>
    <t xml:space="preserve">Тримачі для одноразових рушників  </t>
  </si>
  <si>
    <t xml:space="preserve">Штативи для інфузій  </t>
  </si>
  <si>
    <t xml:space="preserve">Бактерицидний рециркулятор "Bactosfera" </t>
  </si>
  <si>
    <t xml:space="preserve">Балон кисневий  </t>
  </si>
  <si>
    <t xml:space="preserve">Підставка дерев"яна </t>
  </si>
  <si>
    <t xml:space="preserve">Стелаж для медикаментів </t>
  </si>
  <si>
    <t>Стіл письмовий</t>
  </si>
  <si>
    <t xml:space="preserve">Шафа 2-х дверна низька </t>
  </si>
  <si>
    <t xml:space="preserve">Шафа 3-х дверна висока </t>
  </si>
  <si>
    <t xml:space="preserve">Шафа відкрита широка </t>
  </si>
  <si>
    <t xml:space="preserve">Шафа для документів  </t>
  </si>
  <si>
    <t xml:space="preserve">Шафа для документів </t>
  </si>
  <si>
    <t xml:space="preserve">Шафа для документів відкрита </t>
  </si>
  <si>
    <t xml:space="preserve">Шафа для документів відкрита вузька </t>
  </si>
  <si>
    <t xml:space="preserve">Шафа плательна </t>
  </si>
  <si>
    <t xml:space="preserve">Шафа сіра </t>
  </si>
  <si>
    <t xml:space="preserve">Шафа сіра закрита </t>
  </si>
  <si>
    <t xml:space="preserve">Рампа для зберігання кріоциліндру та кисн облад. </t>
  </si>
  <si>
    <t>ТОВ ПІВНІЧАВТО</t>
  </si>
  <si>
    <t xml:space="preserve">Балон кисневий 40л  </t>
  </si>
  <si>
    <t xml:space="preserve">ГЛЮКОЗА Розч.для ін′єкцій 40% по 20мл в амп.№10 </t>
  </si>
  <si>
    <t>ГЛЮКОЗА Розч.для ін′єкцій 40% по 20мл в амп.№10</t>
  </si>
  <si>
    <t xml:space="preserve">Дексаметазон , Розчин для ін′єкцій 4мг/мл по 1 мл в амп.№5  </t>
  </si>
  <si>
    <t>ДЕКСАМЕТАЗОН Розчин дя ін.4мг/мл по 1 амп в амп.№5</t>
  </si>
  <si>
    <t xml:space="preserve">ДЕКСАМЕТАЗОН Розчин дя ін.4мг/мл по 1 амп в амп.№5 </t>
  </si>
  <si>
    <t xml:space="preserve">Етамзилат-Дарниця Розчин для ін..125мг/мл по 2 мл в амп.№10(5х2) </t>
  </si>
  <si>
    <t xml:space="preserve">Етамзилат-Дарниця Розчин для ін..125мг/мл по 2 мл в амп.№10(5х2)  </t>
  </si>
  <si>
    <t>Етамзілат-дарниця Розчин для ін′єкцій 125мг/мл по 2мл в амп.№10(5х2)</t>
  </si>
  <si>
    <t xml:space="preserve">Етамзілат-дарниця Розчин для ін′єкцій 125мг/мл по 2мл в амп.№10(5х2) </t>
  </si>
  <si>
    <t>Катетер «Бабочка»25G Ігар оранж</t>
  </si>
  <si>
    <t xml:space="preserve">Катетер «Бабочка»25G Ігар оранж </t>
  </si>
  <si>
    <t xml:space="preserve">Бинт марлевий медич.нестер.700х14 тип марлі </t>
  </si>
  <si>
    <t>Бинт марлевий медич.нестер.700х14 тип марлі</t>
  </si>
  <si>
    <t xml:space="preserve">Бинт марлевий медич.нестер.7х14 тип марлі 17 DR WHITE </t>
  </si>
  <si>
    <t>Шафа-сейф SL-32</t>
  </si>
  <si>
    <t xml:space="preserve">Бинт марлевий медич.нестер.700х14 тип марлі 17  </t>
  </si>
  <si>
    <t xml:space="preserve">Бинт марлевий медич.нестер.7х14 тип марлі 17 ТМ Екобинт </t>
  </si>
  <si>
    <t xml:space="preserve">Вата нестерильна 100г ″ЕКОБИНТ″Зиг заг  </t>
  </si>
  <si>
    <t xml:space="preserve">Вата нестерильна 100г «Екобинт»зиг-заг </t>
  </si>
  <si>
    <t xml:space="preserve">Вата нестерильна 100г ТМ «Перлина»  </t>
  </si>
  <si>
    <t xml:space="preserve">Вата нестерильна 100г ТМ «Перлина»   </t>
  </si>
  <si>
    <t xml:space="preserve">Вата нестерильна 100г ″ЕКОБИНТ″Зиг заг </t>
  </si>
  <si>
    <t>Вата нестерильна 100г ТМ″Перлина″Зиг заг</t>
  </si>
  <si>
    <t xml:space="preserve">Відріз марлевий мед.нес. 500х90 Екобинт    </t>
  </si>
  <si>
    <t xml:space="preserve">Відріз марлевий мед.нес. 500х90 Екобинт   </t>
  </si>
  <si>
    <t xml:space="preserve">Відріз марлевий мед.нес. 500х90 Екобинт  </t>
  </si>
  <si>
    <t xml:space="preserve">Відріз марлевий мед.нестер.500смх90см, рулон </t>
  </si>
  <si>
    <t xml:space="preserve">Відріз марлевий мед.нестер.500х90 тип марлі 17ТМ «Перлина   </t>
  </si>
  <si>
    <t xml:space="preserve">Відріз марлевий мед.нестер.500х90 тип марлі 17ТМ «Перлина  </t>
  </si>
  <si>
    <t>Канюля в/в GA18</t>
  </si>
  <si>
    <t>Канюля в/в GA20</t>
  </si>
  <si>
    <t xml:space="preserve">Канюля в/в GA22(0,8х25)Венфлон син  </t>
  </si>
  <si>
    <t xml:space="preserve">Канюля в/в з ін..клап.G20 Medicare </t>
  </si>
  <si>
    <t xml:space="preserve">Канюля в/в з ін..клап.G20 Medicare  </t>
  </si>
  <si>
    <t xml:space="preserve">Канюля в/в з ін..клап.G24 Medicare </t>
  </si>
  <si>
    <t xml:space="preserve">Канюля в/в з ін..клап.G24 Medicare  </t>
  </si>
  <si>
    <t xml:space="preserve">Катетер «Метелик»23G Ігар син </t>
  </si>
  <si>
    <t>Катетер «Метелик»23G Ігар син</t>
  </si>
  <si>
    <t xml:space="preserve">Кордіамін-Дарниця Розчин для ін′єкцій,250 мг/мл по 2 мл в амп.№10 </t>
  </si>
  <si>
    <t xml:space="preserve">Л/пласт″H Dr.House″(1,25х500)нет.осн. </t>
  </si>
  <si>
    <t>Л/пласт″H Dr.House″(1,25х500)нет.осн.</t>
  </si>
  <si>
    <t xml:space="preserve">Левоміцетин Краплі очні 0,25% по 10мл у фл плас.№1 у пач. </t>
  </si>
  <si>
    <t xml:space="preserve">Левоміцетин краплі очні 0,25% по 10мл у фл.пласт.№1 у пач.  </t>
  </si>
  <si>
    <t>Лідокаїн-здоров′я розч.для ін′єкц.100мг/мл по 2мл в ам.№10</t>
  </si>
  <si>
    <t xml:space="preserve">Лідокаїн-здоров′я розч.для ін′єкц.100мг/мл по 2мл в ам.№10 </t>
  </si>
  <si>
    <t>Маніт Розчин для інфузій  15% по 200мл у пл..склян.</t>
  </si>
  <si>
    <t xml:space="preserve">Маніт Розчин для інфузій 15% по 200мл у пляш.скляних </t>
  </si>
  <si>
    <t xml:space="preserve">Мезатон Розчин для ін′єкцій,10мг/мл по 1мл в амп.№10(10х1),у бліст.у пачці </t>
  </si>
  <si>
    <t xml:space="preserve">Натрію хлорид розч. 0,9%по 200мл у пляш. </t>
  </si>
  <si>
    <t xml:space="preserve">Натрію хлорид розч. </t>
  </si>
  <si>
    <t xml:space="preserve">Натрію хлорид розчин 0,9% Розчин для інфузій 0,9% по 200мл у пляшках </t>
  </si>
  <si>
    <t xml:space="preserve">Натрію хлорид розчин 0,9% Розчин для інфузій 0,9% </t>
  </si>
  <si>
    <t xml:space="preserve">Натрію хлориду розчин 0,9%Рзчин для інфузій 0,9% по 200мл у пляшках  </t>
  </si>
  <si>
    <t>Натрію хлориду розчин 0,9%Рзчин для інфузій 0,9% по 200мл у пляшках</t>
  </si>
  <si>
    <t>Офтаквікс Краплі очні 5мг/мл по 5 мл у фл з крапел.по 1 фл в кор..</t>
  </si>
  <si>
    <t>Офтаквікс Краплі очні 5мг/мл по 5 мл у фл з крапел.по 1 фл в кор.</t>
  </si>
  <si>
    <t>Офтаквікс Краплі очні 5мг/мл по 5 мл у фл з крапел.по 1 фл в кор</t>
  </si>
  <si>
    <t>Офтаквікс Краплі очні,5мг/мл по 5мл у фл.з крапел.по 1фл.в кор.</t>
  </si>
  <si>
    <t>Офтаквікс Краплі очні,5мг/мл по 5мл у фл.з крапел.по 1фл.в кор..</t>
  </si>
  <si>
    <t xml:space="preserve">Пластир медич.RSVERPLAST 2смх500см картон уп.клас. </t>
  </si>
  <si>
    <t>Пластир медич.RSVERPLAST 2смх500см картон уп.клас</t>
  </si>
  <si>
    <t xml:space="preserve">Пристрій для вливання інфуз розчин.та кровозамін.ПАТ «Гемопласт»  </t>
  </si>
  <si>
    <t xml:space="preserve">Пристрій для вливання інфуз розчин.та кровозамін.ПАТ «Гемопласт» </t>
  </si>
  <si>
    <t xml:space="preserve">Розчин Рінгера.Розчин для інфузій по 400мл у пляшках </t>
  </si>
  <si>
    <t xml:space="preserve">Розчин Рінгера.Розчин для інфузій по 400мл у пляшках  </t>
  </si>
  <si>
    <t xml:space="preserve">Розчин Рінгера.розч.для інфузій по 400мл у пляш. </t>
  </si>
  <si>
    <t xml:space="preserve">Рукавички мед.лат.хір.припуд.стер.Rivergloves р.7,5 п.№1  </t>
  </si>
  <si>
    <t>Рукавички мед.лат.хір.припуд.стер.Rivergloves р.8 п.№1</t>
  </si>
  <si>
    <t xml:space="preserve">Рукавички медич.латек.хірург.припуд.стер.″RIVERGLOVES″тм Ігар р.7,5 </t>
  </si>
  <si>
    <t xml:space="preserve">Рукавички медич.латек.хірург.припуд.стер.″RIVERGLOVES″тм Ігар р.7,5 пара </t>
  </si>
  <si>
    <t xml:space="preserve">Рукавички медич.латек.хірург.припуд.стер.″RIVERGLOVES″тм Ігар р.8 пара №1  </t>
  </si>
  <si>
    <t xml:space="preserve">Рукавички мед.лат.7,5 </t>
  </si>
  <si>
    <t>Септил розч. для зовн.застос.,спиртов.70% по 100 мл у фл.</t>
  </si>
  <si>
    <t xml:space="preserve">Септил розч. для зовн.застос.,спиртов.70% по 100 мл у фл. </t>
  </si>
  <si>
    <t xml:space="preserve">Система вливання інфуз роз.Medicare </t>
  </si>
  <si>
    <t xml:space="preserve">Система вливання інфузійних розчинів Medicare  </t>
  </si>
  <si>
    <t>Система вливання інфузійних розчинів Medicare (Luer losk)</t>
  </si>
  <si>
    <t>Спирт етиловий 70% роз.спирт.для зовн.застос.по 100мл у фл.</t>
  </si>
  <si>
    <t>Шприц ін′Єкц.1мл</t>
  </si>
  <si>
    <t>Шприц ін′Єкц.1мл,</t>
  </si>
  <si>
    <t>Шприц ін′єкц. 5мл</t>
  </si>
  <si>
    <t xml:space="preserve">Шприц ін′єкц.5мл </t>
  </si>
  <si>
    <t>Шприц ін′єкц.  10мл</t>
  </si>
  <si>
    <t>Шприц ін′єкц.  2мл,</t>
  </si>
  <si>
    <t>Шприц ін′єкц.однораз. 2мл</t>
  </si>
  <si>
    <t>Шприц ін′єкц.  5мл</t>
  </si>
  <si>
    <t>Шприц ін′єкційний 1мл</t>
  </si>
  <si>
    <t>Шприц ін′єкційний інсуліновий однораз. застос.BD MICRO-FINE U-100 1мл</t>
  </si>
  <si>
    <t xml:space="preserve">Шприц ін′єкційний інсуліновий </t>
  </si>
  <si>
    <t>Шприц″MEDICARE″.5.0мл</t>
  </si>
  <si>
    <t>Шприц BD Discardit II 2мл</t>
  </si>
  <si>
    <t>Шприц ін′єкційний однораз. застос.BD Discardit II 5мл,з гол. 0,7х40мм</t>
  </si>
  <si>
    <t>Шприц однораз.1мл,</t>
  </si>
  <si>
    <t xml:space="preserve">Гігрометр психометричний ВИТ -2 </t>
  </si>
  <si>
    <t>Криворізька Філлія КП ДОКОЛ</t>
  </si>
  <si>
    <t>Комісія за розрахункове касове обслуговування банку</t>
  </si>
  <si>
    <t>ФОП Невідник І.В.</t>
  </si>
  <si>
    <t>Послуги їдалень (забезпечення дієтичним харчуванням стаціонарних хворих ліікарні на 150 ліжок)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</si>
</sst>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00"/>
    <numFmt numFmtId="166" formatCode="0.0000"/>
    <numFmt numFmtId="167" formatCode="0.00000"/>
    <numFmt numFmtId="168" formatCode="#,##0.000"/>
    <numFmt numFmtId="169" formatCode="0.000;\-0.000;\ "/>
    <numFmt numFmtId="170" formatCode="0.000_ ;\-0.0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5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166" fontId="6" fillId="0" borderId="1" xfId="0" applyNumberFormat="1" applyFont="1" applyBorder="1" applyAlignment="1">
      <alignment horizontal="center"/>
    </xf>
    <xf numFmtId="0" fontId="5" fillId="2" borderId="0" xfId="0" applyFont="1" applyFill="1"/>
    <xf numFmtId="0" fontId="7" fillId="2" borderId="0" xfId="0" applyFont="1" applyFill="1"/>
    <xf numFmtId="0" fontId="0" fillId="2" borderId="0" xfId="0" applyFill="1"/>
    <xf numFmtId="0" fontId="5" fillId="2" borderId="1" xfId="0" applyFont="1" applyFill="1" applyBorder="1" applyAlignment="1">
      <alignment horizontal="center" wrapText="1"/>
    </xf>
    <xf numFmtId="0" fontId="0" fillId="2" borderId="1" xfId="0" applyFill="1" applyBorder="1"/>
    <xf numFmtId="164" fontId="6" fillId="2" borderId="1" xfId="0" applyNumberFormat="1" applyFont="1" applyFill="1" applyBorder="1" applyAlignment="1">
      <alignment horizontal="right"/>
    </xf>
    <xf numFmtId="165" fontId="0" fillId="2" borderId="0" xfId="0" applyNumberFormat="1" applyFill="1"/>
    <xf numFmtId="165" fontId="4" fillId="2" borderId="0" xfId="0" applyNumberFormat="1" applyFont="1" applyFill="1" applyAlignment="1">
      <alignment horizontal="center"/>
    </xf>
    <xf numFmtId="165" fontId="5" fillId="2" borderId="3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/>
    <xf numFmtId="165" fontId="6" fillId="2" borderId="1" xfId="0" applyNumberFormat="1" applyFont="1" applyFill="1" applyBorder="1"/>
    <xf numFmtId="165" fontId="0" fillId="0" borderId="0" xfId="0" applyNumberFormat="1" applyAlignment="1">
      <alignment horizontal="center"/>
    </xf>
    <xf numFmtId="165" fontId="7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0" fillId="0" borderId="0" xfId="0" applyNumberFormat="1"/>
    <xf numFmtId="165" fontId="4" fillId="0" borderId="0" xfId="0" applyNumberFormat="1" applyFont="1" applyAlignment="1">
      <alignment horizontal="center"/>
    </xf>
    <xf numFmtId="165" fontId="6" fillId="0" borderId="4" xfId="0" applyNumberFormat="1" applyFont="1" applyBorder="1"/>
    <xf numFmtId="165" fontId="0" fillId="0" borderId="1" xfId="0" applyNumberFormat="1" applyBorder="1"/>
    <xf numFmtId="165" fontId="6" fillId="0" borderId="1" xfId="0" applyNumberFormat="1" applyFont="1" applyBorder="1"/>
    <xf numFmtId="166" fontId="6" fillId="0" borderId="4" xfId="0" applyNumberFormat="1" applyFont="1" applyBorder="1"/>
    <xf numFmtId="0" fontId="5" fillId="0" borderId="5" xfId="0" applyFont="1" applyBorder="1"/>
    <xf numFmtId="0" fontId="5" fillId="0" borderId="1" xfId="0" applyFont="1" applyBorder="1"/>
    <xf numFmtId="165" fontId="5" fillId="0" borderId="1" xfId="0" applyNumberFormat="1" applyFont="1" applyBorder="1" applyAlignment="1">
      <alignment horizontal="center"/>
    </xf>
    <xf numFmtId="165" fontId="5" fillId="2" borderId="6" xfId="0" applyNumberFormat="1" applyFont="1" applyFill="1" applyBorder="1" applyAlignment="1">
      <alignment horizontal="center"/>
    </xf>
    <xf numFmtId="0" fontId="5" fillId="0" borderId="6" xfId="0" applyFont="1" applyBorder="1"/>
    <xf numFmtId="0" fontId="5" fillId="2" borderId="6" xfId="0" applyFont="1" applyFill="1" applyBorder="1"/>
    <xf numFmtId="165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8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2" fontId="5" fillId="2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166" fontId="10" fillId="2" borderId="1" xfId="0" applyNumberFormat="1" applyFont="1" applyFill="1" applyBorder="1" applyAlignment="1">
      <alignment horizontal="center"/>
    </xf>
    <xf numFmtId="166" fontId="5" fillId="0" borderId="1" xfId="0" applyNumberFormat="1" applyFont="1" applyBorder="1"/>
    <xf numFmtId="165" fontId="11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165" fontId="10" fillId="2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0" fillId="0" borderId="0" xfId="0" applyBorder="1"/>
    <xf numFmtId="0" fontId="5" fillId="0" borderId="7" xfId="0" applyFont="1" applyBorder="1"/>
    <xf numFmtId="165" fontId="5" fillId="2" borderId="7" xfId="0" applyNumberFormat="1" applyFont="1" applyFill="1" applyBorder="1"/>
    <xf numFmtId="0" fontId="5" fillId="0" borderId="0" xfId="0" applyFont="1" applyBorder="1"/>
    <xf numFmtId="165" fontId="5" fillId="2" borderId="0" xfId="0" applyNumberFormat="1" applyFont="1" applyFill="1" applyBorder="1"/>
    <xf numFmtId="165" fontId="5" fillId="2" borderId="0" xfId="0" applyNumberFormat="1" applyFont="1" applyFill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165" fontId="6" fillId="2" borderId="0" xfId="0" applyNumberFormat="1" applyFont="1" applyFill="1" applyBorder="1"/>
    <xf numFmtId="164" fontId="6" fillId="0" borderId="0" xfId="0" applyNumberFormat="1" applyFont="1" applyBorder="1" applyAlignment="1">
      <alignment horizontal="right"/>
    </xf>
    <xf numFmtId="165" fontId="6" fillId="0" borderId="0" xfId="0" applyNumberFormat="1" applyFont="1" applyBorder="1"/>
    <xf numFmtId="164" fontId="6" fillId="0" borderId="0" xfId="0" applyNumberFormat="1" applyFont="1" applyBorder="1"/>
    <xf numFmtId="164" fontId="6" fillId="2" borderId="0" xfId="0" applyNumberFormat="1" applyFont="1" applyFill="1" applyBorder="1" applyAlignment="1">
      <alignment horizontal="right"/>
    </xf>
    <xf numFmtId="165" fontId="6" fillId="2" borderId="0" xfId="0" applyNumberFormat="1" applyFont="1" applyFill="1" applyBorder="1" applyAlignment="1">
      <alignment horizontal="center"/>
    </xf>
    <xf numFmtId="165" fontId="13" fillId="0" borderId="0" xfId="0" applyNumberFormat="1" applyFont="1"/>
    <xf numFmtId="0" fontId="13" fillId="0" borderId="0" xfId="0" applyFont="1"/>
    <xf numFmtId="16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165" fontId="0" fillId="3" borderId="1" xfId="0" applyNumberFormat="1" applyFill="1" applyBorder="1" applyAlignment="1">
      <alignment horizontal="center"/>
    </xf>
    <xf numFmtId="165" fontId="15" fillId="0" borderId="1" xfId="0" applyNumberFormat="1" applyFont="1" applyBorder="1"/>
    <xf numFmtId="165" fontId="15" fillId="0" borderId="1" xfId="0" applyNumberFormat="1" applyFont="1" applyBorder="1" applyAlignment="1">
      <alignment horizontal="right"/>
    </xf>
    <xf numFmtId="165" fontId="0" fillId="3" borderId="0" xfId="0" applyNumberFormat="1" applyFill="1"/>
    <xf numFmtId="165" fontId="4" fillId="3" borderId="0" xfId="0" applyNumberFormat="1" applyFont="1" applyFill="1" applyAlignment="1">
      <alignment horizontal="center"/>
    </xf>
    <xf numFmtId="165" fontId="5" fillId="3" borderId="3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3" borderId="3" xfId="0" applyNumberFormat="1" applyFont="1" applyFill="1" applyBorder="1" applyAlignment="1">
      <alignment horizontal="center" vertical="center" wrapText="1"/>
    </xf>
    <xf numFmtId="165" fontId="5" fillId="3" borderId="6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166" fontId="10" fillId="3" borderId="1" xfId="0" applyNumberFormat="1" applyFont="1" applyFill="1" applyBorder="1" applyAlignment="1">
      <alignment horizontal="center"/>
    </xf>
    <xf numFmtId="165" fontId="11" fillId="3" borderId="1" xfId="0" applyNumberFormat="1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165" fontId="0" fillId="3" borderId="1" xfId="0" applyNumberFormat="1" applyFill="1" applyBorder="1"/>
    <xf numFmtId="165" fontId="6" fillId="3" borderId="1" xfId="0" applyNumberFormat="1" applyFont="1" applyFill="1" applyBorder="1"/>
    <xf numFmtId="165" fontId="6" fillId="3" borderId="0" xfId="0" applyNumberFormat="1" applyFont="1" applyFill="1" applyBorder="1"/>
    <xf numFmtId="165" fontId="5" fillId="3" borderId="7" xfId="0" applyNumberFormat="1" applyFont="1" applyFill="1" applyBorder="1"/>
    <xf numFmtId="165" fontId="5" fillId="3" borderId="0" xfId="0" applyNumberFormat="1" applyFont="1" applyFill="1" applyBorder="1"/>
    <xf numFmtId="165" fontId="5" fillId="3" borderId="0" xfId="0" applyNumberFormat="1" applyFont="1" applyFill="1"/>
    <xf numFmtId="167" fontId="15" fillId="0" borderId="1" xfId="0" applyNumberFormat="1" applyFont="1" applyBorder="1"/>
    <xf numFmtId="0" fontId="5" fillId="3" borderId="0" xfId="0" applyFont="1" applyFill="1"/>
    <xf numFmtId="165" fontId="0" fillId="3" borderId="0" xfId="0" applyNumberFormat="1" applyFill="1" applyAlignment="1">
      <alignment horizontal="center"/>
    </xf>
    <xf numFmtId="0" fontId="7" fillId="3" borderId="0" xfId="0" applyFont="1" applyFill="1"/>
    <xf numFmtId="165" fontId="7" fillId="3" borderId="0" xfId="0" applyNumberFormat="1" applyFont="1" applyFill="1" applyAlignment="1">
      <alignment horizontal="center"/>
    </xf>
    <xf numFmtId="165" fontId="5" fillId="3" borderId="0" xfId="0" applyNumberFormat="1" applyFont="1" applyFill="1" applyAlignment="1">
      <alignment horizontal="center"/>
    </xf>
    <xf numFmtId="0" fontId="0" fillId="3" borderId="0" xfId="0" applyFill="1"/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vertical="center" wrapText="1"/>
    </xf>
    <xf numFmtId="0" fontId="5" fillId="3" borderId="6" xfId="0" applyFont="1" applyFill="1" applyBorder="1"/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166" fontId="6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3" borderId="1" xfId="0" applyFill="1" applyBorder="1"/>
    <xf numFmtId="165" fontId="0" fillId="3" borderId="1" xfId="0" applyNumberFormat="1" applyFill="1" applyBorder="1" applyAlignment="1">
      <alignment horizontal="left"/>
    </xf>
    <xf numFmtId="164" fontId="6" fillId="3" borderId="1" xfId="0" applyNumberFormat="1" applyFont="1" applyFill="1" applyBorder="1" applyAlignment="1">
      <alignment horizontal="right"/>
    </xf>
    <xf numFmtId="164" fontId="6" fillId="3" borderId="0" xfId="0" applyNumberFormat="1" applyFont="1" applyFill="1" applyBorder="1" applyAlignment="1">
      <alignment horizontal="right"/>
    </xf>
    <xf numFmtId="165" fontId="6" fillId="3" borderId="0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167" fontId="16" fillId="3" borderId="1" xfId="0" applyNumberFormat="1" applyFont="1" applyFill="1" applyBorder="1" applyAlignment="1">
      <alignment horizontal="center"/>
    </xf>
    <xf numFmtId="165" fontId="5" fillId="0" borderId="1" xfId="0" applyNumberFormat="1" applyFont="1" applyBorder="1"/>
    <xf numFmtId="165" fontId="5" fillId="0" borderId="1" xfId="0" applyNumberFormat="1" applyFont="1" applyBorder="1" applyAlignment="1">
      <alignment wrapText="1"/>
    </xf>
    <xf numFmtId="165" fontId="5" fillId="2" borderId="1" xfId="0" applyNumberFormat="1" applyFont="1" applyFill="1" applyBorder="1"/>
    <xf numFmtId="168" fontId="6" fillId="0" borderId="1" xfId="0" applyNumberFormat="1" applyFont="1" applyBorder="1"/>
    <xf numFmtId="165" fontId="0" fillId="4" borderId="1" xfId="0" applyNumberFormat="1" applyFill="1" applyBorder="1" applyAlignment="1">
      <alignment horizontal="center"/>
    </xf>
    <xf numFmtId="165" fontId="16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center" wrapText="1"/>
    </xf>
    <xf numFmtId="165" fontId="5" fillId="3" borderId="1" xfId="0" applyNumberFormat="1" applyFont="1" applyFill="1" applyBorder="1" applyAlignment="1">
      <alignment wrapText="1"/>
    </xf>
    <xf numFmtId="165" fontId="5" fillId="3" borderId="1" xfId="0" applyNumberFormat="1" applyFont="1" applyFill="1" applyBorder="1"/>
    <xf numFmtId="165" fontId="6" fillId="0" borderId="4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center" wrapText="1"/>
    </xf>
    <xf numFmtId="165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right"/>
    </xf>
    <xf numFmtId="165" fontId="6" fillId="5" borderId="1" xfId="0" applyNumberFormat="1" applyFont="1" applyFill="1" applyBorder="1"/>
    <xf numFmtId="165" fontId="15" fillId="3" borderId="1" xfId="0" applyNumberFormat="1" applyFont="1" applyFill="1" applyBorder="1"/>
    <xf numFmtId="168" fontId="6" fillId="5" borderId="1" xfId="0" applyNumberFormat="1" applyFont="1" applyFill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left"/>
    </xf>
    <xf numFmtId="0" fontId="6" fillId="5" borderId="2" xfId="0" applyFont="1" applyFill="1" applyBorder="1" applyAlignment="1">
      <alignment horizontal="center" vertical="center" wrapText="1"/>
    </xf>
    <xf numFmtId="0" fontId="0" fillId="5" borderId="1" xfId="0" applyFill="1" applyBorder="1"/>
    <xf numFmtId="165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wrapText="1"/>
    </xf>
    <xf numFmtId="165" fontId="15" fillId="5" borderId="1" xfId="0" applyNumberFormat="1" applyFont="1" applyFill="1" applyBorder="1"/>
    <xf numFmtId="165" fontId="0" fillId="5" borderId="1" xfId="0" applyNumberFormat="1" applyFill="1" applyBorder="1"/>
    <xf numFmtId="165" fontId="0" fillId="5" borderId="1" xfId="0" applyNumberFormat="1" applyFill="1" applyBorder="1" applyAlignment="1">
      <alignment horizontal="right"/>
    </xf>
    <xf numFmtId="0" fontId="16" fillId="0" borderId="1" xfId="0" applyFont="1" applyBorder="1"/>
    <xf numFmtId="0" fontId="16" fillId="0" borderId="1" xfId="0" applyFont="1" applyBorder="1" applyAlignment="1">
      <alignment wrapText="1"/>
    </xf>
    <xf numFmtId="165" fontId="16" fillId="0" borderId="1" xfId="0" applyNumberFormat="1" applyFont="1" applyBorder="1"/>
    <xf numFmtId="165" fontId="16" fillId="0" borderId="1" xfId="0" applyNumberFormat="1" applyFont="1" applyBorder="1" applyAlignment="1">
      <alignment horizontal="center"/>
    </xf>
    <xf numFmtId="168" fontId="6" fillId="3" borderId="1" xfId="0" applyNumberFormat="1" applyFont="1" applyFill="1" applyBorder="1"/>
    <xf numFmtId="0" fontId="5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165" fontId="16" fillId="3" borderId="1" xfId="0" applyNumberFormat="1" applyFont="1" applyFill="1" applyBorder="1"/>
    <xf numFmtId="0" fontId="0" fillId="0" borderId="1" xfId="0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65" fontId="6" fillId="0" borderId="1" xfId="0" applyNumberFormat="1" applyFont="1" applyBorder="1"/>
    <xf numFmtId="165" fontId="0" fillId="3" borderId="1" xfId="0" applyNumberFormat="1" applyFill="1" applyBorder="1" applyAlignment="1">
      <alignment horizontal="center"/>
    </xf>
    <xf numFmtId="165" fontId="0" fillId="3" borderId="1" xfId="0" applyNumberFormat="1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/>
    <xf numFmtId="165" fontId="0" fillId="3" borderId="1" xfId="0" applyNumberFormat="1" applyFill="1" applyBorder="1" applyAlignment="1">
      <alignment horizontal="right"/>
    </xf>
    <xf numFmtId="165" fontId="2" fillId="3" borderId="1" xfId="0" applyNumberFormat="1" applyFont="1" applyFill="1" applyBorder="1"/>
    <xf numFmtId="0" fontId="0" fillId="0" borderId="1" xfId="0" applyFill="1" applyBorder="1"/>
    <xf numFmtId="165" fontId="0" fillId="3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3" fillId="0" borderId="0" xfId="0" applyFont="1" applyBorder="1"/>
    <xf numFmtId="0" fontId="0" fillId="0" borderId="0" xfId="0" applyFill="1" applyBorder="1"/>
    <xf numFmtId="165" fontId="5" fillId="3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5" fontId="6" fillId="3" borderId="4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 vertical="center" wrapText="1"/>
    </xf>
    <xf numFmtId="165" fontId="6" fillId="3" borderId="4" xfId="0" applyNumberFormat="1" applyFont="1" applyFill="1" applyBorder="1"/>
    <xf numFmtId="165" fontId="14" fillId="3" borderId="4" xfId="0" applyNumberFormat="1" applyFont="1" applyFill="1" applyBorder="1"/>
    <xf numFmtId="165" fontId="17" fillId="3" borderId="4" xfId="0" applyNumberFormat="1" applyFont="1" applyFill="1" applyBorder="1"/>
    <xf numFmtId="165" fontId="6" fillId="3" borderId="1" xfId="0" applyNumberFormat="1" applyFont="1" applyFill="1" applyBorder="1" applyAlignment="1">
      <alignment vertical="center" wrapText="1"/>
    </xf>
    <xf numFmtId="165" fontId="6" fillId="3" borderId="0" xfId="0" applyNumberFormat="1" applyFont="1" applyFill="1" applyBorder="1" applyAlignment="1">
      <alignment vertical="center" wrapText="1"/>
    </xf>
    <xf numFmtId="165" fontId="6" fillId="3" borderId="0" xfId="0" applyNumberFormat="1" applyFont="1" applyFill="1" applyAlignment="1">
      <alignment horizontal="left"/>
    </xf>
    <xf numFmtId="0" fontId="5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5" fillId="3" borderId="5" xfId="0" applyFont="1" applyFill="1" applyBorder="1"/>
    <xf numFmtId="0" fontId="19" fillId="3" borderId="6" xfId="0" applyFont="1" applyFill="1" applyBorder="1" applyAlignment="1">
      <alignment vertical="center" wrapText="1"/>
    </xf>
    <xf numFmtId="0" fontId="19" fillId="3" borderId="1" xfId="0" applyFont="1" applyFill="1" applyBorder="1"/>
    <xf numFmtId="165" fontId="18" fillId="3" borderId="6" xfId="0" applyNumberFormat="1" applyFont="1" applyFill="1" applyBorder="1" applyAlignment="1">
      <alignment horizontal="center"/>
    </xf>
    <xf numFmtId="165" fontId="19" fillId="3" borderId="6" xfId="0" applyNumberFormat="1" applyFont="1" applyFill="1" applyBorder="1" applyAlignment="1">
      <alignment horizontal="center"/>
    </xf>
    <xf numFmtId="166" fontId="5" fillId="3" borderId="1" xfId="0" applyNumberFormat="1" applyFont="1" applyFill="1" applyBorder="1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14" fillId="3" borderId="1" xfId="0" applyFont="1" applyFill="1" applyBorder="1" applyAlignment="1">
      <alignment wrapText="1"/>
    </xf>
    <xf numFmtId="165" fontId="6" fillId="3" borderId="1" xfId="0" applyNumberFormat="1" applyFont="1" applyFill="1" applyBorder="1" applyAlignment="1">
      <alignment horizontal="right"/>
    </xf>
    <xf numFmtId="0" fontId="16" fillId="3" borderId="1" xfId="0" applyFont="1" applyFill="1" applyBorder="1"/>
    <xf numFmtId="0" fontId="20" fillId="3" borderId="1" xfId="0" applyFont="1" applyFill="1" applyBorder="1"/>
    <xf numFmtId="0" fontId="6" fillId="3" borderId="0" xfId="0" applyFont="1" applyFill="1" applyBorder="1" applyAlignment="1">
      <alignment vertical="center" wrapText="1"/>
    </xf>
    <xf numFmtId="0" fontId="6" fillId="3" borderId="0" xfId="0" applyFont="1" applyFill="1"/>
    <xf numFmtId="0" fontId="5" fillId="3" borderId="0" xfId="0" applyFont="1" applyFill="1" applyBorder="1"/>
    <xf numFmtId="0" fontId="5" fillId="3" borderId="7" xfId="0" applyFont="1" applyFill="1" applyBorder="1"/>
    <xf numFmtId="0" fontId="6" fillId="3" borderId="0" xfId="0" applyFont="1" applyFill="1" applyAlignment="1">
      <alignment horizontal="left"/>
    </xf>
    <xf numFmtId="165" fontId="5" fillId="3" borderId="1" xfId="0" applyNumberFormat="1" applyFont="1" applyFill="1" applyBorder="1" applyAlignment="1">
      <alignment horizontal="right"/>
    </xf>
    <xf numFmtId="165" fontId="15" fillId="3" borderId="0" xfId="0" applyNumberFormat="1" applyFont="1" applyFill="1"/>
    <xf numFmtId="165" fontId="6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 vertical="center" wrapText="1"/>
    </xf>
    <xf numFmtId="165" fontId="6" fillId="3" borderId="0" xfId="0" applyNumberFormat="1" applyFont="1" applyFill="1" applyBorder="1" applyAlignment="1">
      <alignment horizontal="center" vertical="center" wrapText="1"/>
    </xf>
    <xf numFmtId="165" fontId="5" fillId="3" borderId="7" xfId="0" applyNumberFormat="1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169" fontId="19" fillId="3" borderId="1" xfId="0" applyNumberFormat="1" applyFont="1" applyFill="1" applyBorder="1" applyAlignment="1">
      <alignment horizontal="center"/>
    </xf>
    <xf numFmtId="0" fontId="19" fillId="3" borderId="1" xfId="0" applyFont="1" applyFill="1" applyBorder="1" applyAlignment="1">
      <alignment horizontal="left" wrapText="1"/>
    </xf>
    <xf numFmtId="169" fontId="19" fillId="3" borderId="1" xfId="0" applyNumberFormat="1" applyFont="1" applyFill="1" applyBorder="1"/>
    <xf numFmtId="170" fontId="19" fillId="3" borderId="1" xfId="0" applyNumberFormat="1" applyFont="1" applyFill="1" applyBorder="1"/>
    <xf numFmtId="170" fontId="19" fillId="3" borderId="1" xfId="0" applyNumberFormat="1" applyFont="1" applyFill="1" applyBorder="1" applyAlignment="1">
      <alignment horizontal="center"/>
    </xf>
    <xf numFmtId="0" fontId="19" fillId="3" borderId="1" xfId="0" applyFont="1" applyFill="1" applyBorder="1" applyAlignment="1">
      <alignment horizontal="left"/>
    </xf>
    <xf numFmtId="169" fontId="19" fillId="3" borderId="1" xfId="1" applyNumberFormat="1" applyFont="1" applyFill="1" applyBorder="1" applyAlignment="1">
      <alignment horizontal="center"/>
    </xf>
    <xf numFmtId="0" fontId="19" fillId="3" borderId="1" xfId="1" applyFont="1" applyFill="1" applyBorder="1" applyAlignment="1">
      <alignment horizontal="left" wrapText="1"/>
    </xf>
    <xf numFmtId="165" fontId="19" fillId="3" borderId="1" xfId="0" applyNumberFormat="1" applyFont="1" applyFill="1" applyBorder="1" applyAlignment="1">
      <alignment horizontal="center"/>
    </xf>
    <xf numFmtId="0" fontId="19" fillId="3" borderId="1" xfId="1" applyFont="1" applyFill="1" applyBorder="1" applyAlignment="1">
      <alignment horizontal="left"/>
    </xf>
    <xf numFmtId="165" fontId="14" fillId="3" borderId="1" xfId="0" applyNumberFormat="1" applyFont="1" applyFill="1" applyBorder="1"/>
    <xf numFmtId="165" fontId="14" fillId="3" borderId="1" xfId="0" applyNumberFormat="1" applyFont="1" applyFill="1" applyBorder="1" applyAlignment="1">
      <alignment horizontal="right"/>
    </xf>
    <xf numFmtId="169" fontId="19" fillId="3" borderId="0" xfId="1" applyNumberFormat="1" applyFont="1" applyFill="1" applyAlignment="1">
      <alignment horizontal="center"/>
    </xf>
    <xf numFmtId="0" fontId="19" fillId="3" borderId="1" xfId="0" applyFont="1" applyFill="1" applyBorder="1" applyAlignment="1">
      <alignment wrapText="1"/>
    </xf>
    <xf numFmtId="0" fontId="19" fillId="3" borderId="1" xfId="0" applyNumberFormat="1" applyFont="1" applyFill="1" applyBorder="1"/>
    <xf numFmtId="0" fontId="19" fillId="3" borderId="1" xfId="1" applyFont="1" applyFill="1" applyBorder="1" applyAlignment="1">
      <alignment vertical="distributed"/>
    </xf>
    <xf numFmtId="170" fontId="14" fillId="3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165" fontId="6" fillId="3" borderId="0" xfId="0" applyNumberFormat="1" applyFont="1" applyFill="1" applyAlignment="1">
      <alignment horizontal="left"/>
    </xf>
    <xf numFmtId="169" fontId="14" fillId="3" borderId="3" xfId="0" applyNumberFormat="1" applyFont="1" applyFill="1" applyBorder="1" applyAlignment="1">
      <alignment horizontal="center" vertical="center"/>
    </xf>
    <xf numFmtId="169" fontId="14" fillId="3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tyles" Target="styles.xml"/><Relationship Id="rId5" Type="http://schemas.openxmlformats.org/officeDocument/2006/relationships/worksheet" Target="worksheets/sheet4.xml"/><Relationship Id="rId10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'На стенд ІІ квартал_по приходу'!$J$11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'На стенд ІІ квартал_по приходу'!$A$12:$I$208</c:f>
              <c:multiLvlStrCache>
                <c:ptCount val="197"/>
                <c:lvl>
                  <c:pt idx="0">
                    <c:v>Перелік використаних товарів та послуг у натуральній формі </c:v>
                  </c:pt>
                  <c:pt idx="1">
                    <c:v>Комплект TOTALPLUS комбінований-7500 CPM , 25 калібру з клапанами </c:v>
                  </c:pt>
                  <c:pt idx="2">
                    <c:v>Висколон</c:v>
                  </c:pt>
                  <c:pt idx="3">
                    <c:v>Вкладиш -імплант орбітальний політе-трфторутіленовий</c:v>
                  </c:pt>
                  <c:pt idx="4">
                    <c:v>Зонд лазерний</c:v>
                  </c:pt>
                  <c:pt idx="5">
                    <c:v>Комбінований комплект COMBINEPAC</c:v>
                  </c:pt>
                  <c:pt idx="6">
                    <c:v>Наконечник з м'яким кінч. 25G</c:v>
                  </c:pt>
                  <c:pt idx="7">
                    <c:v>Ніж зігнутий для тонельного розрізу  20G</c:v>
                  </c:pt>
                  <c:pt idx="8">
                    <c:v>Ніж   20G</c:v>
                  </c:pt>
                  <c:pt idx="9">
                    <c:v>Розчин для іригації ока BBS PLUS</c:v>
                  </c:pt>
                  <c:pt idx="10">
                    <c:v>Троакар 25 G</c:v>
                  </c:pt>
                  <c:pt idx="11">
                    <c:v>Тутопласт </c:v>
                  </c:pt>
                  <c:pt idx="12">
                    <c:v>Шовк 4/0</c:v>
                  </c:pt>
                  <c:pt idx="13">
                    <c:v>Шовк 5/0</c:v>
                  </c:pt>
                  <c:pt idx="14">
                    <c:v>AKREOS Асферична інтроокулярна лінза</c:v>
                  </c:pt>
                  <c:pt idx="15">
                    <c:v>AKREOS Асферична інтроокулярна лінза</c:v>
                  </c:pt>
                  <c:pt idx="16">
                    <c:v>Комплект для бімануальних маніпул UltraFlow </c:v>
                  </c:pt>
                  <c:pt idx="17">
                    <c:v>Viscojekt (віскот+картридж)</c:v>
                  </c:pt>
                  <c:pt idx="18">
                    <c:v>Висколон</c:v>
                  </c:pt>
                  <c:pt idx="19">
                    <c:v>Вискот</c:v>
                  </c:pt>
                  <c:pt idx="20">
                    <c:v>Зонд лазерний 25G</c:v>
                  </c:pt>
                  <c:pt idx="21">
                    <c:v>Комплект TOTALPLUS комбінований-7500 CPM , 25 калібру з клапанами </c:v>
                  </c:pt>
                  <c:pt idx="22">
                    <c:v>Наконечний з м'яким кінчиком 25G</c:v>
                  </c:pt>
                  <c:pt idx="23">
                    <c:v>Нейлон моно  10/0</c:v>
                  </c:pt>
                  <c:pt idx="24">
                    <c:v>Ніж зігнутий для тонельного розрізу  2,2</c:v>
                  </c:pt>
                  <c:pt idx="25">
                    <c:v>Ніж зігнутий для тонельного розрізу  20G</c:v>
                  </c:pt>
                  <c:pt idx="26">
                    <c:v>Провіск</c:v>
                  </c:pt>
                  <c:pt idx="27">
                    <c:v>Ретрактор райдужної оболонки гнучкий</c:v>
                  </c:pt>
                  <c:pt idx="28">
                    <c:v>Розчин для іригації ока BBS PLUS</c:v>
                  </c:pt>
                  <c:pt idx="29">
                    <c:v>Силіконове масло</c:v>
                  </c:pt>
                  <c:pt idx="30">
                    <c:v>Система введення з клапоном 25 калібру</c:v>
                  </c:pt>
                  <c:pt idx="31">
                    <c:v>"Кератобіом-плантат" №ДН1/357/18R</c:v>
                  </c:pt>
                  <c:pt idx="32">
                    <c:v>Алкаїн очні краплі</c:v>
                  </c:pt>
                  <c:pt idx="33">
                    <c:v>Аміаку розчин</c:v>
                  </c:pt>
                  <c:pt idx="34">
                    <c:v>Анальгін</c:v>
                  </c:pt>
                  <c:pt idx="35">
                    <c:v>Атропін амп №10</c:v>
                  </c:pt>
                  <c:pt idx="36">
                    <c:v>Бахіли №50</c:v>
                  </c:pt>
                  <c:pt idx="37">
                    <c:v>Бетадін фл 120 мл</c:v>
                  </c:pt>
                  <c:pt idx="38">
                    <c:v>Бинт н/ст 7х14</c:v>
                  </c:pt>
                  <c:pt idx="39">
                    <c:v>Бупівакаїн 5 мг/мл</c:v>
                  </c:pt>
                  <c:pt idx="40">
                    <c:v>Ватні палички </c:v>
                  </c:pt>
                  <c:pt idx="41">
                    <c:v>Відісік очний гель</c:v>
                  </c:pt>
                  <c:pt idx="42">
                    <c:v>Гепарин-Індіар</c:v>
                  </c:pt>
                  <c:pt idx="43">
                    <c:v>Глюкоза амп №10</c:v>
                  </c:pt>
                  <c:pt idx="44">
                    <c:v>Дексаметазон №10 </c:v>
                  </c:pt>
                  <c:pt idx="45">
                    <c:v>Дексаметазон очні краплі</c:v>
                  </c:pt>
                  <c:pt idx="46">
                    <c:v>Димедрол амп №10</c:v>
                  </c:pt>
                  <c:pt idx="47">
                    <c:v>Енап амп №5</c:v>
                  </c:pt>
                  <c:pt idx="48">
                    <c:v>Етамзілат амп №10</c:v>
                  </c:pt>
                  <c:pt idx="49">
                    <c:v>Канюля в/в G16</c:v>
                  </c:pt>
                  <c:pt idx="50">
                    <c:v>Кордарон амп</c:v>
                  </c:pt>
                  <c:pt idx="51">
                    <c:v>Лазикс Нео №10</c:v>
                  </c:pt>
                  <c:pt idx="52">
                    <c:v>Ларингеальна  маска р.1</c:v>
                  </c:pt>
                  <c:pt idx="53">
                    <c:v>Лідокаїн амп№10</c:v>
                  </c:pt>
                  <c:pt idx="54">
                    <c:v>Маска</c:v>
                  </c:pt>
                  <c:pt idx="55">
                    <c:v>Метранідазол 100 мл</c:v>
                  </c:pt>
                  <c:pt idx="56">
                    <c:v>Натрія гідрокарб. 200 мл</c:v>
                  </c:pt>
                  <c:pt idx="57">
                    <c:v>Натрія хлорид 0,9% 200 мл</c:v>
                  </c:pt>
                  <c:pt idx="58">
                    <c:v>Натрія хлорид амп №10</c:v>
                  </c:pt>
                  <c:pt idx="59">
                    <c:v>Но-х-ша амп №5</c:v>
                  </c:pt>
                  <c:pt idx="60">
                    <c:v>Но-шпа амп №25</c:v>
                  </c:pt>
                  <c:pt idx="61">
                    <c:v>Ондасетрон амп</c:v>
                  </c:pt>
                  <c:pt idx="62">
                    <c:v>Офтавікс очні краплі</c:v>
                  </c:pt>
                  <c:pt idx="63">
                    <c:v>Офтимол очні краплі</c:v>
                  </c:pt>
                  <c:pt idx="64">
                    <c:v>Палички ватні №200</c:v>
                  </c:pt>
                  <c:pt idx="65">
                    <c:v>Пелюшки сечопоглин. №30</c:v>
                  </c:pt>
                  <c:pt idx="66">
                    <c:v>Пелюшка 40х60см  №30</c:v>
                  </c:pt>
                  <c:pt idx="67">
                    <c:v>Пилокарпин очні краплі</c:v>
                  </c:pt>
                  <c:pt idx="68">
                    <c:v>Пластир медичний </c:v>
                  </c:pt>
                  <c:pt idx="69">
                    <c:v>Повітровід 100 мм</c:v>
                  </c:pt>
                  <c:pt idx="70">
                    <c:v>Повітровід 110 мм</c:v>
                  </c:pt>
                  <c:pt idx="71">
                    <c:v>Повітровід 90 мм</c:v>
                  </c:pt>
                  <c:pt idx="72">
                    <c:v>Подовжувач для інф.магістр.</c:v>
                  </c:pt>
                  <c:pt idx="73">
                    <c:v>Пропофол фл №5  </c:v>
                  </c:pt>
                  <c:pt idx="74">
                    <c:v>Протаміну сульфат  1000 Мо/мл по 10 мл</c:v>
                  </c:pt>
                  <c:pt idx="75">
                    <c:v>Розчин Рінгера 400 мл </c:v>
                  </c:pt>
                  <c:pt idx="76">
                    <c:v>Рукавички хір.лат.прип. 6,5</c:v>
                  </c:pt>
                  <c:pt idx="77">
                    <c:v>Рукавички хір.лат.прип. 7,0</c:v>
                  </c:pt>
                  <c:pt idx="78">
                    <c:v>Рукавички хір.лат.прип. 7,5</c:v>
                  </c:pt>
                  <c:pt idx="79">
                    <c:v>Рукавички хір.лат.прип. 8,5</c:v>
                  </c:pt>
                  <c:pt idx="80">
                    <c:v>Рукавички хір.лат.прип. стер. 7,0</c:v>
                  </c:pt>
                  <c:pt idx="81">
                    <c:v>Рукавички хір.стер. 7,0</c:v>
                  </c:pt>
                  <c:pt idx="82">
                    <c:v>Рукавички хір.лат.прип. стер. 8,0</c:v>
                  </c:pt>
                  <c:pt idx="83">
                    <c:v>Рукавички хір. стер. 8,0</c:v>
                  </c:pt>
                  <c:pt idx="84">
                    <c:v>Септил 70% по 100 мл</c:v>
                  </c:pt>
                  <c:pt idx="85">
                    <c:v>Солкосерил очний гель</c:v>
                  </c:pt>
                  <c:pt idx="86">
                    <c:v>Стерофундин №10</c:v>
                  </c:pt>
                  <c:pt idx="87">
                    <c:v>Фармадекс очні краплі</c:v>
                  </c:pt>
                  <c:pt idx="88">
                    <c:v>Фенефрін очні краплі</c:v>
                  </c:pt>
                  <c:pt idx="89">
                    <c:v>Фленокс шприць №10</c:v>
                  </c:pt>
                  <c:pt idx="90">
                    <c:v>Флоксал очні краплі</c:v>
                  </c:pt>
                  <c:pt idx="91">
                    <c:v>Фуосемід  амп №10</c:v>
                  </c:pt>
                  <c:pt idx="92">
                    <c:v>Халат хір. 120х158 см</c:v>
                  </c:pt>
                  <c:pt idx="93">
                    <c:v>Цефоктам 0,75г</c:v>
                  </c:pt>
                  <c:pt idx="94">
                    <c:v>Цефоктам фл </c:v>
                  </c:pt>
                  <c:pt idx="95">
                    <c:v>Шапочка-берет</c:v>
                  </c:pt>
                  <c:pt idx="96">
                    <c:v>Шприць 1,0  м</c:v>
                  </c:pt>
                  <c:pt idx="97">
                    <c:v>Шприць 2,0 мл </c:v>
                  </c:pt>
                  <c:pt idx="98">
                    <c:v>Шприць 5,0 мл</c:v>
                  </c:pt>
                  <c:pt idx="99">
                    <c:v>Шприць 20 мл</c:v>
                  </c:pt>
                  <c:pt idx="100">
                    <c:v>Шприць 10 мл</c:v>
                  </c:pt>
                  <c:pt idx="101">
                    <c:v>Мікрохвильова піч (знаходиться в експлуатації)</c:v>
                  </c:pt>
                  <c:pt idx="103">
                    <c:v>Комплект TOTALPLUS , 25 калібру</c:v>
                  </c:pt>
                  <c:pt idx="104">
                    <c:v>Наконечник з м'яким кінч 25G</c:v>
                  </c:pt>
                  <c:pt idx="105">
                    <c:v>Пеленка 60х60</c:v>
                  </c:pt>
                  <c:pt idx="106">
                    <c:v>Покриття операційне з адигезив.отв.</c:v>
                  </c:pt>
                  <c:pt idx="107">
                    <c:v>Провіск</c:v>
                  </c:pt>
                  <c:pt idx="108">
                    <c:v>Розчин BSS Plus 480мл</c:v>
                  </c:pt>
                  <c:pt idx="109">
                    <c:v>Система введення з клапоном 25 калібру</c:v>
                  </c:pt>
                  <c:pt idx="110">
                    <c:v>"Кератобіомплантат" №ДН1/910/18R</c:v>
                  </c:pt>
                  <c:pt idx="111">
                    <c:v>Комплект TOTALPLUS , 25 калібру</c:v>
                  </c:pt>
                  <c:pt idx="112">
                    <c:v>Висколон</c:v>
                  </c:pt>
                  <c:pt idx="113">
                    <c:v>наконечник з м'яким кінч 25G</c:v>
                  </c:pt>
                  <c:pt idx="114">
                    <c:v>Ніж 20 G</c:v>
                  </c:pt>
                  <c:pt idx="115">
                    <c:v>Ніж зігнутий для тонельного розрізу 2,2</c:v>
                  </c:pt>
                  <c:pt idx="116">
                    <c:v>Полигликолит 7/0</c:v>
                  </c:pt>
                  <c:pt idx="117">
                    <c:v>Ретрактор райдужної оболонки гнучкий</c:v>
                  </c:pt>
                  <c:pt idx="118">
                    <c:v>Розчин BSS Plus 480мл</c:v>
                  </c:pt>
                  <c:pt idx="119">
                    <c:v>Розчин BSS Plus 480мл</c:v>
                  </c:pt>
                  <c:pt idx="120">
                    <c:v>Система введення з клапоном 25 калібру</c:v>
                  </c:pt>
                  <c:pt idx="121">
                    <c:v>Алкаїн очні краплі 0,5% 15мл</c:v>
                  </c:pt>
                  <c:pt idx="122">
                    <c:v>Алкаїн очні краплі</c:v>
                  </c:pt>
                  <c:pt idx="123">
                    <c:v>Анальгін амп №10 </c:v>
                  </c:pt>
                  <c:pt idx="124">
                    <c:v>Атропин амп №10</c:v>
                  </c:pt>
                  <c:pt idx="125">
                    <c:v>Бахіли</c:v>
                  </c:pt>
                  <c:pt idx="126">
                    <c:v>Бетадин 10% фл 120 мл</c:v>
                  </c:pt>
                  <c:pt idx="127">
                    <c:v>Бупівакаїн №5</c:v>
                  </c:pt>
                  <c:pt idx="128">
                    <c:v>Ватні палички </c:v>
                  </c:pt>
                  <c:pt idx="129">
                    <c:v>Відісік очний гель</c:v>
                  </c:pt>
                  <c:pt idx="130">
                    <c:v>Гентпміцин амп №10</c:v>
                  </c:pt>
                  <c:pt idx="131">
                    <c:v>Гідрокартизону ацетат амп №10</c:v>
                  </c:pt>
                  <c:pt idx="132">
                    <c:v>Гліцерин 85 %</c:v>
                  </c:pt>
                  <c:pt idx="133">
                    <c:v>Гліцерин фл 25г</c:v>
                  </c:pt>
                  <c:pt idx="134">
                    <c:v>Глюкоза амп №10</c:v>
                  </c:pt>
                  <c:pt idx="135">
                    <c:v>Дексаметазон амп №10</c:v>
                  </c:pt>
                  <c:pt idx="136">
                    <c:v>Дексаметазон амп №5</c:v>
                  </c:pt>
                  <c:pt idx="137">
                    <c:v>Депос амп №5</c:v>
                  </c:pt>
                  <c:pt idx="138">
                    <c:v>Димедрл амп №10</c:v>
                  </c:pt>
                  <c:pt idx="139">
                    <c:v>Енап амп №5</c:v>
                  </c:pt>
                  <c:pt idx="140">
                    <c:v>Етамзілат амп №10</c:v>
                  </c:pt>
                  <c:pt idx="141">
                    <c:v>Зонд  шлунковий </c:v>
                  </c:pt>
                  <c:pt idx="142">
                    <c:v>канюля в/в G20</c:v>
                  </c:pt>
                  <c:pt idx="143">
                    <c:v>Кран трехходовой </c:v>
                  </c:pt>
                  <c:pt idx="144">
                    <c:v>Лейкопластирь 1,25*5</c:v>
                  </c:pt>
                  <c:pt idx="145">
                    <c:v>Лейкопластирь 3*500</c:v>
                  </c:pt>
                  <c:pt idx="146">
                    <c:v>Лідокаїн амп№10</c:v>
                  </c:pt>
                  <c:pt idx="147">
                    <c:v>Манніт-Новофарм</c:v>
                  </c:pt>
                  <c:pt idx="148">
                    <c:v>Манніт-Новофарм фл 200 мл</c:v>
                  </c:pt>
                  <c:pt idx="149">
                    <c:v>Маска</c:v>
                  </c:pt>
                  <c:pt idx="150">
                    <c:v>Маска захисна з-х слойна №100</c:v>
                  </c:pt>
                  <c:pt idx="151">
                    <c:v>Надглотковий повітровод р.1</c:v>
                  </c:pt>
                  <c:pt idx="152">
                    <c:v>Натрію хлорид амп №10</c:v>
                  </c:pt>
                  <c:pt idx="153">
                    <c:v>Натрію хлорид 0,9% 200мл</c:v>
                  </c:pt>
                  <c:pt idx="154">
                    <c:v>Ондасетрон  амп №10</c:v>
                  </c:pt>
                  <c:pt idx="155">
                    <c:v>Ондасетрон  амп №5</c:v>
                  </c:pt>
                  <c:pt idx="156">
                    <c:v>Офтавікс очні краплі</c:v>
                  </c:pt>
                  <c:pt idx="157">
                    <c:v>Офтимол очні краплі 5 мг/мл 10мл</c:v>
                  </c:pt>
                  <c:pt idx="158">
                    <c:v>Перекис водню розчин 3% по 100 мл</c:v>
                  </c:pt>
                  <c:pt idx="159">
                    <c:v>Перекис водню розчин 3% по 40 мл</c:v>
                  </c:pt>
                  <c:pt idx="160">
                    <c:v>Пілокарпін очні краплі</c:v>
                  </c:pt>
                  <c:pt idx="161">
                    <c:v>Пластир медичний 1х500</c:v>
                  </c:pt>
                  <c:pt idx="162">
                    <c:v>Пластир медичний 3х500</c:v>
                  </c:pt>
                  <c:pt idx="163">
                    <c:v>Пластир медичний</c:v>
                  </c:pt>
                  <c:pt idx="164">
                    <c:v>Пропофол-Ново фл №5</c:v>
                  </c:pt>
                  <c:pt idx="165">
                    <c:v>Розчин Рінгера 400 мл </c:v>
                  </c:pt>
                  <c:pt idx="166">
                    <c:v>Рукавички хірургічні латексні припудрені 8.0</c:v>
                  </c:pt>
                  <c:pt idx="167">
                    <c:v>Рукавички хірургічні стерильні  припудрені р.6.5</c:v>
                  </c:pt>
                  <c:pt idx="168">
                    <c:v>Рукавички хірургічні стерильні  припудрені р.7.0</c:v>
                  </c:pt>
                  <c:pt idx="169">
                    <c:v>Рукавички хірургічні стерильні  припудрені р.7.0</c:v>
                  </c:pt>
                  <c:pt idx="170">
                    <c:v>Рукавички хірургічні стерильні  припудрені р.7.0</c:v>
                  </c:pt>
                  <c:pt idx="171">
                    <c:v>Септил  100 мл</c:v>
                  </c:pt>
                  <c:pt idx="172">
                    <c:v>Септил  100 мл 70%</c:v>
                  </c:pt>
                  <c:pt idx="173">
                    <c:v>Солкосерил очний гель</c:v>
                  </c:pt>
                  <c:pt idx="174">
                    <c:v>Тракріум амп 10 мг/мл 2.5 мл №5</c:v>
                  </c:pt>
                  <c:pt idx="175">
                    <c:v>Феноферін очні краплі</c:v>
                  </c:pt>
                  <c:pt idx="176">
                    <c:v>Флоксал очна мазь</c:v>
                  </c:pt>
                  <c:pt idx="177">
                    <c:v>Фуросемід амп №10</c:v>
                  </c:pt>
                  <c:pt idx="178">
                    <c:v>Халат хірургічний</c:v>
                  </c:pt>
                  <c:pt idx="179">
                    <c:v>Цефоктам 0.75 г фл №5</c:v>
                  </c:pt>
                  <c:pt idx="180">
                    <c:v>Цефоктам фл №1</c:v>
                  </c:pt>
                  <c:pt idx="181">
                    <c:v>Цефоктам фл №5</c:v>
                  </c:pt>
                  <c:pt idx="182">
                    <c:v>Цикломед очні краплі</c:v>
                  </c:pt>
                  <c:pt idx="183">
                    <c:v>Ципрофрм очні краплі 0,3% 10 мл</c:v>
                  </c:pt>
                  <c:pt idx="184">
                    <c:v>Шапочка-берет</c:v>
                  </c:pt>
                  <c:pt idx="185">
                    <c:v>Шприць 1,0</c:v>
                  </c:pt>
                  <c:pt idx="186">
                    <c:v>Шприць 2,0 мл </c:v>
                  </c:pt>
                  <c:pt idx="187">
                    <c:v>Шприць 5,0 мл </c:v>
                  </c:pt>
                  <c:pt idx="188">
                    <c:v>Шприць 20,0</c:v>
                  </c:pt>
                  <c:pt idx="189">
                    <c:v>Шприць 10,0</c:v>
                  </c:pt>
                  <c:pt idx="196">
                    <c:v>Х</c:v>
                  </c:pt>
                </c:lvl>
                <c:lvl>
                  <c:pt idx="0">
                    <c:v>Сума, тис.грн.</c:v>
                  </c:pt>
                  <c:pt idx="196">
                    <c:v>0.0</c:v>
                  </c:pt>
                </c:lvl>
                <c:lvl>
                  <c:pt idx="0">
                    <c:v>Навпрямки використання у грошовій формі (стаття витрат)</c:v>
                  </c:pt>
                  <c:pt idx="196">
                    <c:v>Х</c:v>
                  </c:pt>
                </c:lvl>
                <c:lvl>
                  <c:pt idx="1">
                    <c:v>10.390</c:v>
                  </c:pt>
                  <c:pt idx="2">
                    <c:v>0.280</c:v>
                  </c:pt>
                  <c:pt idx="3">
                    <c:v>4.350</c:v>
                  </c:pt>
                  <c:pt idx="4">
                    <c:v>4.154</c:v>
                  </c:pt>
                  <c:pt idx="5">
                    <c:v>10.899</c:v>
                  </c:pt>
                  <c:pt idx="6">
                    <c:v>0.300</c:v>
                  </c:pt>
                  <c:pt idx="7">
                    <c:v>0.270</c:v>
                  </c:pt>
                  <c:pt idx="8">
                    <c:v>0.630</c:v>
                  </c:pt>
                  <c:pt idx="9">
                    <c:v>1.140</c:v>
                  </c:pt>
                  <c:pt idx="10">
                    <c:v>1.165</c:v>
                  </c:pt>
                  <c:pt idx="11">
                    <c:v>2.454</c:v>
                  </c:pt>
                  <c:pt idx="12">
                    <c:v>0.190</c:v>
                  </c:pt>
                  <c:pt idx="13">
                    <c:v>0.190</c:v>
                  </c:pt>
                  <c:pt idx="14">
                    <c:v>2.200</c:v>
                  </c:pt>
                  <c:pt idx="15">
                    <c:v>2.000</c:v>
                  </c:pt>
                  <c:pt idx="16">
                    <c:v>0.695</c:v>
                  </c:pt>
                  <c:pt idx="17">
                    <c:v>0.600</c:v>
                  </c:pt>
                  <c:pt idx="18">
                    <c:v>0.280</c:v>
                  </c:pt>
                  <c:pt idx="19">
                    <c:v>1.462</c:v>
                  </c:pt>
                  <c:pt idx="20">
                    <c:v>8.308</c:v>
                  </c:pt>
                  <c:pt idx="21">
                    <c:v>20.780</c:v>
                  </c:pt>
                  <c:pt idx="22">
                    <c:v>0.600</c:v>
                  </c:pt>
                  <c:pt idx="23">
                    <c:v>0.250</c:v>
                  </c:pt>
                  <c:pt idx="24">
                    <c:v>0.555</c:v>
                  </c:pt>
                  <c:pt idx="25">
                    <c:v>0.555</c:v>
                  </c:pt>
                  <c:pt idx="26">
                    <c:v>1.136</c:v>
                  </c:pt>
                  <c:pt idx="27">
                    <c:v>1.280</c:v>
                  </c:pt>
                  <c:pt idx="28">
                    <c:v>1.140</c:v>
                  </c:pt>
                  <c:pt idx="29">
                    <c:v>2.750</c:v>
                  </c:pt>
                  <c:pt idx="30">
                    <c:v>2.330</c:v>
                  </c:pt>
                  <c:pt idx="31">
                    <c:v>26.2995</c:v>
                  </c:pt>
                  <c:pt idx="32">
                    <c:v>8.724</c:v>
                  </c:pt>
                  <c:pt idx="33">
                    <c:v>0.002</c:v>
                  </c:pt>
                  <c:pt idx="34">
                    <c:v>0.037</c:v>
                  </c:pt>
                  <c:pt idx="35">
                    <c:v>0.019</c:v>
                  </c:pt>
                  <c:pt idx="36">
                    <c:v>0.052</c:v>
                  </c:pt>
                  <c:pt idx="37">
                    <c:v>0.755</c:v>
                  </c:pt>
                  <c:pt idx="38">
                    <c:v>0.829</c:v>
                  </c:pt>
                  <c:pt idx="39">
                    <c:v>3.187</c:v>
                  </c:pt>
                  <c:pt idx="40">
                    <c:v>0.514</c:v>
                  </c:pt>
                  <c:pt idx="41">
                    <c:v>1.317</c:v>
                  </c:pt>
                  <c:pt idx="42">
                    <c:v>0.890</c:v>
                  </c:pt>
                  <c:pt idx="43">
                    <c:v>0.193</c:v>
                  </c:pt>
                  <c:pt idx="44">
                    <c:v>1.171</c:v>
                  </c:pt>
                  <c:pt idx="45">
                    <c:v>0.028</c:v>
                  </c:pt>
                  <c:pt idx="46">
                    <c:v>0.019</c:v>
                  </c:pt>
                  <c:pt idx="47">
                    <c:v>0.347</c:v>
                  </c:pt>
                  <c:pt idx="48">
                    <c:v>0.552</c:v>
                  </c:pt>
                  <c:pt idx="49">
                    <c:v>0.355</c:v>
                  </c:pt>
                  <c:pt idx="50">
                    <c:v>0.210</c:v>
                  </c:pt>
                  <c:pt idx="51">
                    <c:v>0.201</c:v>
                  </c:pt>
                  <c:pt idx="52">
                    <c:v>1.284</c:v>
                  </c:pt>
                  <c:pt idx="53">
                    <c:v>0.805</c:v>
                  </c:pt>
                  <c:pt idx="54">
                    <c:v>0.445</c:v>
                  </c:pt>
                  <c:pt idx="55">
                    <c:v>0.247</c:v>
                  </c:pt>
                  <c:pt idx="56">
                    <c:v>0.325</c:v>
                  </c:pt>
                  <c:pt idx="57">
                    <c:v>4.237</c:v>
                  </c:pt>
                  <c:pt idx="58">
                    <c:v>0.249</c:v>
                  </c:pt>
                  <c:pt idx="59">
                    <c:v>0.017</c:v>
                  </c:pt>
                  <c:pt idx="60">
                    <c:v>0.274</c:v>
                  </c:pt>
                  <c:pt idx="61">
                    <c:v>1.589</c:v>
                  </c:pt>
                  <c:pt idx="62">
                    <c:v>3.860</c:v>
                  </c:pt>
                  <c:pt idx="63">
                    <c:v>0.205</c:v>
                  </c:pt>
                  <c:pt idx="64">
                    <c:v>0.481</c:v>
                  </c:pt>
                  <c:pt idx="65">
                    <c:v>0.195</c:v>
                  </c:pt>
                  <c:pt idx="66">
                    <c:v>0.272</c:v>
                  </c:pt>
                  <c:pt idx="67">
                    <c:v>0.441</c:v>
                  </c:pt>
                  <c:pt idx="68">
                    <c:v>0.832</c:v>
                  </c:pt>
                  <c:pt idx="69">
                    <c:v>0.023</c:v>
                  </c:pt>
                  <c:pt idx="70">
                    <c:v>0.023</c:v>
                  </c:pt>
                  <c:pt idx="71">
                    <c:v>0.023</c:v>
                  </c:pt>
                  <c:pt idx="72">
                    <c:v>0.692</c:v>
                  </c:pt>
                  <c:pt idx="73">
                    <c:v>15.636</c:v>
                  </c:pt>
                  <c:pt idx="74">
                    <c:v>0.119</c:v>
                  </c:pt>
                  <c:pt idx="75">
                    <c:v>3.884</c:v>
                  </c:pt>
                  <c:pt idx="76">
                    <c:v>4.298</c:v>
                  </c:pt>
                  <c:pt idx="77">
                    <c:v>3.377</c:v>
                  </c:pt>
                  <c:pt idx="78">
                    <c:v>2.763</c:v>
                  </c:pt>
                  <c:pt idx="79">
                    <c:v>1.228</c:v>
                  </c:pt>
                  <c:pt idx="80">
                    <c:v>0.921</c:v>
                  </c:pt>
                  <c:pt idx="81">
                    <c:v>1.775</c:v>
                  </c:pt>
                  <c:pt idx="82">
                    <c:v>2.763</c:v>
                  </c:pt>
                  <c:pt idx="83">
                    <c:v>1.775</c:v>
                  </c:pt>
                  <c:pt idx="84">
                    <c:v>2.979</c:v>
                  </c:pt>
                  <c:pt idx="85">
                    <c:v>4.377</c:v>
                  </c:pt>
                  <c:pt idx="86">
                    <c:v>0.589</c:v>
                  </c:pt>
                  <c:pt idx="87">
                    <c:v>0.026</c:v>
                  </c:pt>
                  <c:pt idx="88">
                    <c:v>1.923</c:v>
                  </c:pt>
                  <c:pt idx="89">
                    <c:v>0.951</c:v>
                  </c:pt>
                  <c:pt idx="90">
                    <c:v>13.176</c:v>
                  </c:pt>
                  <c:pt idx="91">
                    <c:v>0.192</c:v>
                  </c:pt>
                  <c:pt idx="92">
                    <c:v>0.365</c:v>
                  </c:pt>
                  <c:pt idx="93">
                    <c:v>0.637</c:v>
                  </c:pt>
                  <c:pt idx="94">
                    <c:v>0.956</c:v>
                  </c:pt>
                  <c:pt idx="95">
                    <c:v>0.535</c:v>
                  </c:pt>
                  <c:pt idx="96">
                    <c:v>1.537</c:v>
                  </c:pt>
                  <c:pt idx="97">
                    <c:v>0.679</c:v>
                  </c:pt>
                  <c:pt idx="98">
                    <c:v>0.602</c:v>
                  </c:pt>
                  <c:pt idx="99">
                    <c:v>1.345</c:v>
                  </c:pt>
                  <c:pt idx="100">
                    <c:v>0.462</c:v>
                  </c:pt>
                  <c:pt idx="101">
                    <c:v>1.700</c:v>
                  </c:pt>
                  <c:pt idx="102">
                    <c:v>14.691</c:v>
                  </c:pt>
                  <c:pt idx="103">
                    <c:v>13.105</c:v>
                  </c:pt>
                  <c:pt idx="104">
                    <c:v>1.500</c:v>
                  </c:pt>
                  <c:pt idx="105">
                    <c:v>0.010</c:v>
                  </c:pt>
                  <c:pt idx="106">
                    <c:v>0.055</c:v>
                  </c:pt>
                  <c:pt idx="107">
                    <c:v>0.960</c:v>
                  </c:pt>
                  <c:pt idx="108">
                    <c:v>0.960</c:v>
                  </c:pt>
                  <c:pt idx="109">
                    <c:v>1.750</c:v>
                  </c:pt>
                  <c:pt idx="110">
                    <c:v>26.300</c:v>
                  </c:pt>
                  <c:pt idx="111">
                    <c:v>21.800</c:v>
                  </c:pt>
                  <c:pt idx="112">
                    <c:v>0.420</c:v>
                  </c:pt>
                  <c:pt idx="113">
                    <c:v>0.300</c:v>
                  </c:pt>
                  <c:pt idx="114">
                    <c:v>0.580</c:v>
                  </c:pt>
                  <c:pt idx="115">
                    <c:v>0.290</c:v>
                  </c:pt>
                  <c:pt idx="116">
                    <c:v>0.570</c:v>
                  </c:pt>
                  <c:pt idx="117">
                    <c:v>1.300</c:v>
                  </c:pt>
                  <c:pt idx="118">
                    <c:v>0.508</c:v>
                  </c:pt>
                  <c:pt idx="119">
                    <c:v>0.570</c:v>
                  </c:pt>
                  <c:pt idx="120">
                    <c:v>2.328</c:v>
                  </c:pt>
                  <c:pt idx="121">
                    <c:v>7.070</c:v>
                  </c:pt>
                  <c:pt idx="122">
                    <c:v>9.889</c:v>
                  </c:pt>
                  <c:pt idx="123">
                    <c:v>0.139</c:v>
                  </c:pt>
                  <c:pt idx="124">
                    <c:v>0.019</c:v>
                  </c:pt>
                  <c:pt idx="125">
                    <c:v>0.100</c:v>
                  </c:pt>
                  <c:pt idx="126">
                    <c:v>0.120</c:v>
                  </c:pt>
                  <c:pt idx="127">
                    <c:v>2.505</c:v>
                  </c:pt>
                  <c:pt idx="128">
                    <c:v>1.028</c:v>
                  </c:pt>
                  <c:pt idx="129">
                    <c:v>2.765</c:v>
                  </c:pt>
                  <c:pt idx="130">
                    <c:v>0.041</c:v>
                  </c:pt>
                  <c:pt idx="131">
                    <c:v>1.036</c:v>
                  </c:pt>
                  <c:pt idx="132">
                    <c:v>0.067</c:v>
                  </c:pt>
                  <c:pt idx="133">
                    <c:v>0.212</c:v>
                  </c:pt>
                  <c:pt idx="134">
                    <c:v>0.092</c:v>
                  </c:pt>
                  <c:pt idx="135">
                    <c:v>1.002</c:v>
                  </c:pt>
                  <c:pt idx="136">
                    <c:v>0.869</c:v>
                  </c:pt>
                  <c:pt idx="137">
                    <c:v>15.589</c:v>
                  </c:pt>
                  <c:pt idx="138">
                    <c:v>0.059</c:v>
                  </c:pt>
                  <c:pt idx="139">
                    <c:v>0.695</c:v>
                  </c:pt>
                  <c:pt idx="140">
                    <c:v>0.184</c:v>
                  </c:pt>
                  <c:pt idx="141">
                    <c:v>0.019</c:v>
                  </c:pt>
                  <c:pt idx="142">
                    <c:v>0.885</c:v>
                  </c:pt>
                  <c:pt idx="143">
                    <c:v>0.110</c:v>
                  </c:pt>
                  <c:pt idx="144">
                    <c:v>0.542</c:v>
                  </c:pt>
                  <c:pt idx="145">
                    <c:v>0.323</c:v>
                  </c:pt>
                  <c:pt idx="146">
                    <c:v>1.312</c:v>
                  </c:pt>
                  <c:pt idx="147">
                    <c:v>0.212</c:v>
                  </c:pt>
                  <c:pt idx="148">
                    <c:v>0.249</c:v>
                  </c:pt>
                  <c:pt idx="149">
                    <c:v>0.756</c:v>
                  </c:pt>
                  <c:pt idx="150">
                    <c:v>0.218</c:v>
                  </c:pt>
                  <c:pt idx="151">
                    <c:v>2.346</c:v>
                  </c:pt>
                  <c:pt idx="152">
                    <c:v>0.057</c:v>
                  </c:pt>
                  <c:pt idx="153">
                    <c:v>5.126</c:v>
                  </c:pt>
                  <c:pt idx="154">
                    <c:v>0.845</c:v>
                  </c:pt>
                  <c:pt idx="155">
                    <c:v>0.060</c:v>
                  </c:pt>
                  <c:pt idx="156">
                    <c:v>13.697</c:v>
                  </c:pt>
                  <c:pt idx="157">
                    <c:v>0.459</c:v>
                  </c:pt>
                  <c:pt idx="158">
                    <c:v>0.231</c:v>
                  </c:pt>
                  <c:pt idx="159">
                    <c:v>0.053</c:v>
                  </c:pt>
                  <c:pt idx="160">
                    <c:v>0.201</c:v>
                  </c:pt>
                  <c:pt idx="161">
                    <c:v>0.219</c:v>
                  </c:pt>
                  <c:pt idx="162">
                    <c:v>1.681</c:v>
                  </c:pt>
                  <c:pt idx="163">
                    <c:v>0.206</c:v>
                  </c:pt>
                  <c:pt idx="164">
                    <c:v>10.099</c:v>
                  </c:pt>
                  <c:pt idx="165">
                    <c:v>11.031</c:v>
                  </c:pt>
                  <c:pt idx="166">
                    <c:v>0.730</c:v>
                  </c:pt>
                  <c:pt idx="167">
                    <c:v>2.404</c:v>
                  </c:pt>
                  <c:pt idx="168">
                    <c:v>4.087</c:v>
                  </c:pt>
                  <c:pt idx="169">
                    <c:v>4.327</c:v>
                  </c:pt>
                  <c:pt idx="170">
                    <c:v>3.306</c:v>
                  </c:pt>
                  <c:pt idx="171">
                    <c:v>2.321</c:v>
                  </c:pt>
                  <c:pt idx="172">
                    <c:v>1.735</c:v>
                  </c:pt>
                  <c:pt idx="173">
                    <c:v>2.340</c:v>
                  </c:pt>
                  <c:pt idx="174">
                    <c:v>1.835</c:v>
                  </c:pt>
                  <c:pt idx="175">
                    <c:v>0.490</c:v>
                  </c:pt>
                  <c:pt idx="176">
                    <c:v>6.763</c:v>
                  </c:pt>
                  <c:pt idx="177">
                    <c:v>0.192</c:v>
                  </c:pt>
                  <c:pt idx="178">
                    <c:v>0.475</c:v>
                  </c:pt>
                  <c:pt idx="179">
                    <c:v>0.682</c:v>
                  </c:pt>
                  <c:pt idx="180">
                    <c:v>2.071</c:v>
                  </c:pt>
                  <c:pt idx="181">
                    <c:v>0.682</c:v>
                  </c:pt>
                  <c:pt idx="182">
                    <c:v>2.649</c:v>
                  </c:pt>
                  <c:pt idx="183">
                    <c:v>0.221</c:v>
                  </c:pt>
                  <c:pt idx="184">
                    <c:v>0.993</c:v>
                  </c:pt>
                  <c:pt idx="185">
                    <c:v>1.945</c:v>
                  </c:pt>
                  <c:pt idx="186">
                    <c:v>1.894</c:v>
                  </c:pt>
                  <c:pt idx="187">
                    <c:v>1.778</c:v>
                  </c:pt>
                  <c:pt idx="188">
                    <c:v>1.414</c:v>
                  </c:pt>
                  <c:pt idx="189">
                    <c:v>0.151</c:v>
                  </c:pt>
                  <c:pt idx="192">
                    <c:v>0.000</c:v>
                  </c:pt>
                  <c:pt idx="194">
                    <c:v>0.000</c:v>
                  </c:pt>
                  <c:pt idx="196">
                    <c:v>445.022</c:v>
                  </c:pt>
                </c:lvl>
                <c:lvl>
                  <c:pt idx="0">
                    <c:v>Перелік товарів і послуг в натуральній формі</c:v>
                  </c:pt>
                  <c:pt idx="1">
                    <c:v>Комплект TOTALPLUS комбінований-7500 CPM , 25 калібру з клапанами </c:v>
                  </c:pt>
                  <c:pt idx="2">
                    <c:v>Висколон</c:v>
                  </c:pt>
                  <c:pt idx="3">
                    <c:v>Вкладиш -імплант орбітальний політе-трфторутіленовий</c:v>
                  </c:pt>
                  <c:pt idx="4">
                    <c:v>Зонд лазерний</c:v>
                  </c:pt>
                  <c:pt idx="5">
                    <c:v>Комбінований комплект COMBINEPAC</c:v>
                  </c:pt>
                  <c:pt idx="6">
                    <c:v>Наконечник з м'яким кінч 25G</c:v>
                  </c:pt>
                  <c:pt idx="7">
                    <c:v>Ніж зігнутий для тонельного розрізу  20G</c:v>
                  </c:pt>
                  <c:pt idx="8">
                    <c:v>Ніж   20G</c:v>
                  </c:pt>
                  <c:pt idx="9">
                    <c:v>Розчин для іригації ока BBS PLUS</c:v>
                  </c:pt>
                  <c:pt idx="10">
                    <c:v>Троакар 25 G</c:v>
                  </c:pt>
                  <c:pt idx="11">
                    <c:v>Тутопласт </c:v>
                  </c:pt>
                  <c:pt idx="12">
                    <c:v>Шовк 4/0</c:v>
                  </c:pt>
                  <c:pt idx="13">
                    <c:v>Шовк 5/0</c:v>
                  </c:pt>
                  <c:pt idx="14">
                    <c:v>AKREOS Асферична інтроокулярна лінза</c:v>
                  </c:pt>
                  <c:pt idx="15">
                    <c:v>AKREOS Асферична інтроокулярна лінза</c:v>
                  </c:pt>
                  <c:pt idx="16">
                    <c:v>Комплект для бімануальних маніпул UltraFlow </c:v>
                  </c:pt>
                  <c:pt idx="17">
                    <c:v>Viscojekt (віскот+ картридж)</c:v>
                  </c:pt>
                  <c:pt idx="18">
                    <c:v>Висколон</c:v>
                  </c:pt>
                  <c:pt idx="19">
                    <c:v>Вискот</c:v>
                  </c:pt>
                  <c:pt idx="20">
                    <c:v>Зонд лазерний 25G</c:v>
                  </c:pt>
                  <c:pt idx="21">
                    <c:v>Комплект TOTALPLUS комбінований-7500 CPM , 25 калібру з клапанами </c:v>
                  </c:pt>
                  <c:pt idx="22">
                    <c:v>Наконечний з м'яким кінчиком 25G</c:v>
                  </c:pt>
                  <c:pt idx="23">
                    <c:v>Нейлон моно  10/0</c:v>
                  </c:pt>
                  <c:pt idx="24">
                    <c:v>Ніж зігнутий для тонельного розрізу  2,2</c:v>
                  </c:pt>
                  <c:pt idx="25">
                    <c:v>Ніж зігнутий для тонельного розрізу  20G</c:v>
                  </c:pt>
                  <c:pt idx="26">
                    <c:v>Провіск</c:v>
                  </c:pt>
                  <c:pt idx="27">
                    <c:v>Ретрактор райдужної оболонки гнучкий</c:v>
                  </c:pt>
                  <c:pt idx="28">
                    <c:v>Розчин для іригації ока BBS PLUS</c:v>
                  </c:pt>
                  <c:pt idx="29">
                    <c:v>Силіконове масло</c:v>
                  </c:pt>
                  <c:pt idx="30">
                    <c:v>Система введення з клапоном 25 калібру</c:v>
                  </c:pt>
                  <c:pt idx="31">
                    <c:v>"Кератобіом-плантат" №ДН1/357/18R</c:v>
                  </c:pt>
                  <c:pt idx="32">
                    <c:v>Алкаїн очні краплі</c:v>
                  </c:pt>
                  <c:pt idx="33">
                    <c:v>Аміаку розчин</c:v>
                  </c:pt>
                  <c:pt idx="34">
                    <c:v>Анальгін</c:v>
                  </c:pt>
                  <c:pt idx="35">
                    <c:v>Атропін амп №10</c:v>
                  </c:pt>
                  <c:pt idx="36">
                    <c:v>Бахіли №50</c:v>
                  </c:pt>
                  <c:pt idx="37">
                    <c:v>Бетадін фл 120 мл</c:v>
                  </c:pt>
                  <c:pt idx="38">
                    <c:v>Бинт н/ст 7х14</c:v>
                  </c:pt>
                  <c:pt idx="39">
                    <c:v>Бупівакаїн 5 мг/мл</c:v>
                  </c:pt>
                  <c:pt idx="40">
                    <c:v>Ватні палички </c:v>
                  </c:pt>
                  <c:pt idx="41">
                    <c:v>Відісік очний гель</c:v>
                  </c:pt>
                  <c:pt idx="42">
                    <c:v>Гепарин-Індіар</c:v>
                  </c:pt>
                  <c:pt idx="43">
                    <c:v>Глюкоза амп №10</c:v>
                  </c:pt>
                  <c:pt idx="44">
                    <c:v>Дексаметазон №10 </c:v>
                  </c:pt>
                  <c:pt idx="45">
                    <c:v>Дексаметазон очні краплі</c:v>
                  </c:pt>
                  <c:pt idx="46">
                    <c:v>Димедрол амп №10</c:v>
                  </c:pt>
                  <c:pt idx="47">
                    <c:v>Енап амп №5</c:v>
                  </c:pt>
                  <c:pt idx="48">
                    <c:v>Етамзілат амп №10</c:v>
                  </c:pt>
                  <c:pt idx="49">
                    <c:v>Канюля в/в G16</c:v>
                  </c:pt>
                  <c:pt idx="50">
                    <c:v>Кордарон амп</c:v>
                  </c:pt>
                  <c:pt idx="51">
                    <c:v>Лазикс Нео №10</c:v>
                  </c:pt>
                  <c:pt idx="52">
                    <c:v>Ларингеальна  маска р.1</c:v>
                  </c:pt>
                  <c:pt idx="53">
                    <c:v>Лідокаїн амп№10</c:v>
                  </c:pt>
                  <c:pt idx="54">
                    <c:v>Маска</c:v>
                  </c:pt>
                  <c:pt idx="55">
                    <c:v>Метранідазол 100 мл</c:v>
                  </c:pt>
                  <c:pt idx="56">
                    <c:v>Натрія гідрокарб. 200 мл</c:v>
                  </c:pt>
                  <c:pt idx="57">
                    <c:v>Натрія хлорид 0,9% 200 мл</c:v>
                  </c:pt>
                  <c:pt idx="58">
                    <c:v>Натрія хлорид амп №10</c:v>
                  </c:pt>
                  <c:pt idx="59">
                    <c:v>Но-х-ша амп №5</c:v>
                  </c:pt>
                  <c:pt idx="60">
                    <c:v>Но-шпа амп №25</c:v>
                  </c:pt>
                  <c:pt idx="61">
                    <c:v>Ондасетрон амп</c:v>
                  </c:pt>
                  <c:pt idx="62">
                    <c:v>Офтавікс очні краплі</c:v>
                  </c:pt>
                  <c:pt idx="63">
                    <c:v>Офтимол очні краплі</c:v>
                  </c:pt>
                  <c:pt idx="64">
                    <c:v>Палички ватні №200</c:v>
                  </c:pt>
                  <c:pt idx="65">
                    <c:v>Пелюшки сечопоглин. №30</c:v>
                  </c:pt>
                  <c:pt idx="66">
                    <c:v>Пелюшка 40х60см  №30</c:v>
                  </c:pt>
                  <c:pt idx="67">
                    <c:v>Пилокарпин очні краплі</c:v>
                  </c:pt>
                  <c:pt idx="68">
                    <c:v>Пластир медичний </c:v>
                  </c:pt>
                  <c:pt idx="69">
                    <c:v>Повітровід 100 мм</c:v>
                  </c:pt>
                  <c:pt idx="70">
                    <c:v>Повітровід 110 мм</c:v>
                  </c:pt>
                  <c:pt idx="71">
                    <c:v>Повітровід 90 мм</c:v>
                  </c:pt>
                  <c:pt idx="72">
                    <c:v>Подовжувач для інф.магіст.</c:v>
                  </c:pt>
                  <c:pt idx="73">
                    <c:v>Пропофол фл №5  </c:v>
                  </c:pt>
                  <c:pt idx="74">
                    <c:v>Протаміну сульфат  1000 Мо/мл по 10 мл</c:v>
                  </c:pt>
                  <c:pt idx="75">
                    <c:v>Розчин Рінгера 400 мл </c:v>
                  </c:pt>
                  <c:pt idx="76">
                    <c:v>Рукавички хір.лат.прип. 6,5</c:v>
                  </c:pt>
                  <c:pt idx="77">
                    <c:v>Рукавички хір.лат.прип. 7,0</c:v>
                  </c:pt>
                  <c:pt idx="78">
                    <c:v>Рукавички хір.лат.прип. 7,5</c:v>
                  </c:pt>
                  <c:pt idx="79">
                    <c:v>Рукавички хір.лат.прип. 8,5</c:v>
                  </c:pt>
                  <c:pt idx="80">
                    <c:v>Рукавички хір.лат.прип. стер. 7,0</c:v>
                  </c:pt>
                  <c:pt idx="81">
                    <c:v>Рукавички хір.стер. 7,0</c:v>
                  </c:pt>
                  <c:pt idx="82">
                    <c:v>Рукавички хір.лат.прип. стер. 8,0</c:v>
                  </c:pt>
                  <c:pt idx="83">
                    <c:v>Рукавички хір. стер. 8,0</c:v>
                  </c:pt>
                  <c:pt idx="84">
                    <c:v>Септил 70% по 100 мл</c:v>
                  </c:pt>
                  <c:pt idx="85">
                    <c:v>Солкосерил очний гель</c:v>
                  </c:pt>
                  <c:pt idx="86">
                    <c:v>Стерофундин №10</c:v>
                  </c:pt>
                  <c:pt idx="87">
                    <c:v>Фармадекс очні краплі</c:v>
                  </c:pt>
                  <c:pt idx="88">
                    <c:v>Фенефрін очні краплі</c:v>
                  </c:pt>
                  <c:pt idx="89">
                    <c:v>Фленокс шприць №10</c:v>
                  </c:pt>
                  <c:pt idx="90">
                    <c:v>Флоксал очні краплі</c:v>
                  </c:pt>
                  <c:pt idx="91">
                    <c:v>Фуосемід  амп №10</c:v>
                  </c:pt>
                  <c:pt idx="92">
                    <c:v>Халат хір. 120х158 см</c:v>
                  </c:pt>
                  <c:pt idx="93">
                    <c:v>Цефоктам 0,75г</c:v>
                  </c:pt>
                  <c:pt idx="94">
                    <c:v>Цефоктам фл </c:v>
                  </c:pt>
                  <c:pt idx="95">
                    <c:v>Шапочка-берет</c:v>
                  </c:pt>
                  <c:pt idx="96">
                    <c:v>Шприць 1,0  м</c:v>
                  </c:pt>
                  <c:pt idx="97">
                    <c:v>Шприць 2,0 мл </c:v>
                  </c:pt>
                  <c:pt idx="98">
                    <c:v>Шприць 5,0 мл</c:v>
                  </c:pt>
                  <c:pt idx="99">
                    <c:v>Шприць 20 мл</c:v>
                  </c:pt>
                  <c:pt idx="100">
                    <c:v>Шприць 10 мл</c:v>
                  </c:pt>
                  <c:pt idx="101">
                    <c:v>Мікрохвильова піч </c:v>
                  </c:pt>
                  <c:pt idx="103">
                    <c:v>Комплект TOTALPLUS , 25 калібру</c:v>
                  </c:pt>
                  <c:pt idx="104">
                    <c:v>Наконечник з м'яким кінч 25G</c:v>
                  </c:pt>
                  <c:pt idx="105">
                    <c:v>Пеленка 60х60</c:v>
                  </c:pt>
                  <c:pt idx="106">
                    <c:v>Покриття операційне з адигезив.отв.</c:v>
                  </c:pt>
                  <c:pt idx="107">
                    <c:v>Провіск</c:v>
                  </c:pt>
                  <c:pt idx="108">
                    <c:v>Розчин BSS Plus 480мл</c:v>
                  </c:pt>
                  <c:pt idx="109">
                    <c:v>Система введення з клапоном 25 калібру</c:v>
                  </c:pt>
                  <c:pt idx="110">
                    <c:v>"Кератобіомплантат" №ДН1/910/18R</c:v>
                  </c:pt>
                  <c:pt idx="111">
                    <c:v>Комплект TOTALPLUS , 25 калібру</c:v>
                  </c:pt>
                  <c:pt idx="112">
                    <c:v>Висколон</c:v>
                  </c:pt>
                  <c:pt idx="113">
                    <c:v>наконечник з м'яким кінч 25G</c:v>
                  </c:pt>
                  <c:pt idx="114">
                    <c:v>Ніж 20 G</c:v>
                  </c:pt>
                  <c:pt idx="115">
                    <c:v>Ніж зігнутий для тонельного розрізу 2,2</c:v>
                  </c:pt>
                  <c:pt idx="116">
                    <c:v>Полигликолит 7/0</c:v>
                  </c:pt>
                  <c:pt idx="117">
                    <c:v>Ретрактор райдужної оболонки гнучкий</c:v>
                  </c:pt>
                  <c:pt idx="118">
                    <c:v>Розчин BSS Plus 480мл</c:v>
                  </c:pt>
                  <c:pt idx="119">
                    <c:v>Розчин BSS Plus 480мл</c:v>
                  </c:pt>
                  <c:pt idx="120">
                    <c:v>Система введення з клапоном 25 калібру</c:v>
                  </c:pt>
                  <c:pt idx="121">
                    <c:v>Алкаїн очні краплі 0,5% 15мл</c:v>
                  </c:pt>
                  <c:pt idx="122">
                    <c:v>Алкаїн очні краплі</c:v>
                  </c:pt>
                  <c:pt idx="123">
                    <c:v>Анальгін амп №10 </c:v>
                  </c:pt>
                  <c:pt idx="124">
                    <c:v>Атропин амп №10</c:v>
                  </c:pt>
                  <c:pt idx="125">
                    <c:v>Бахіли</c:v>
                  </c:pt>
                  <c:pt idx="126">
                    <c:v>Бетадин 10% фл 120 мл</c:v>
                  </c:pt>
                  <c:pt idx="127">
                    <c:v>Бупівакаїн №5</c:v>
                  </c:pt>
                  <c:pt idx="128">
                    <c:v>Ватні палички </c:v>
                  </c:pt>
                  <c:pt idx="129">
                    <c:v>Відісік очний гель</c:v>
                  </c:pt>
                  <c:pt idx="130">
                    <c:v>Гентпміцин амп №10</c:v>
                  </c:pt>
                  <c:pt idx="131">
                    <c:v>Гідрокартизону ацетат амп №10</c:v>
                  </c:pt>
                  <c:pt idx="132">
                    <c:v>Гліцерин 85 %</c:v>
                  </c:pt>
                  <c:pt idx="133">
                    <c:v>Гліцерин фл 25г</c:v>
                  </c:pt>
                  <c:pt idx="134">
                    <c:v>Глюкоза амп №10</c:v>
                  </c:pt>
                  <c:pt idx="135">
                    <c:v>Дексаметазон амп №10</c:v>
                  </c:pt>
                  <c:pt idx="136">
                    <c:v>Дексаметазон амп №5</c:v>
                  </c:pt>
                  <c:pt idx="137">
                    <c:v>Депос амп №5</c:v>
                  </c:pt>
                  <c:pt idx="138">
                    <c:v>Димедрол амп №10</c:v>
                  </c:pt>
                  <c:pt idx="139">
                    <c:v>Енап амп №5</c:v>
                  </c:pt>
                  <c:pt idx="140">
                    <c:v>Етамзілат амп №10</c:v>
                  </c:pt>
                  <c:pt idx="141">
                    <c:v>Зонд  шлунковий </c:v>
                  </c:pt>
                  <c:pt idx="142">
                    <c:v>канюля в/в G20</c:v>
                  </c:pt>
                  <c:pt idx="143">
                    <c:v>Кран трехходовой </c:v>
                  </c:pt>
                  <c:pt idx="144">
                    <c:v>Лейкопластирь 1,25*5</c:v>
                  </c:pt>
                  <c:pt idx="145">
                    <c:v>Лейкопластирь 3*500</c:v>
                  </c:pt>
                  <c:pt idx="146">
                    <c:v>Лідокаїн амп№10</c:v>
                  </c:pt>
                  <c:pt idx="147">
                    <c:v>Манніт-Новофарм</c:v>
                  </c:pt>
                  <c:pt idx="148">
                    <c:v>Манніт-Новофарм фл 200 мл</c:v>
                  </c:pt>
                  <c:pt idx="149">
                    <c:v>Маска</c:v>
                  </c:pt>
                  <c:pt idx="150">
                    <c:v>Маска захисна з-х слойна №100</c:v>
                  </c:pt>
                  <c:pt idx="151">
                    <c:v>Надглотковий повітровод р.1</c:v>
                  </c:pt>
                  <c:pt idx="152">
                    <c:v>Натрію хлорид амп №10</c:v>
                  </c:pt>
                  <c:pt idx="153">
                    <c:v>Натрію хлорид 0,9% 200мл</c:v>
                  </c:pt>
                  <c:pt idx="154">
                    <c:v>Ондасетрон  амп №10</c:v>
                  </c:pt>
                  <c:pt idx="155">
                    <c:v>Ондасетрон  амп №5</c:v>
                  </c:pt>
                  <c:pt idx="156">
                    <c:v>Офтавікс очні краплі</c:v>
                  </c:pt>
                  <c:pt idx="157">
                    <c:v>Офтимол очні краплі 5 мг/мл 10мл</c:v>
                  </c:pt>
                  <c:pt idx="158">
                    <c:v>Перекис водню розчин 3% по 100 мл</c:v>
                  </c:pt>
                  <c:pt idx="159">
                    <c:v>Перекис водню розчин 3% по 40 мл</c:v>
                  </c:pt>
                  <c:pt idx="160">
                    <c:v>Пілокарпін очні краплі</c:v>
                  </c:pt>
                  <c:pt idx="161">
                    <c:v>Пластир медичний 1х500</c:v>
                  </c:pt>
                  <c:pt idx="162">
                    <c:v>Пластир медичний 3х500</c:v>
                  </c:pt>
                  <c:pt idx="163">
                    <c:v>Пластир медичний</c:v>
                  </c:pt>
                  <c:pt idx="164">
                    <c:v>Пропофол-Ново фл №5</c:v>
                  </c:pt>
                  <c:pt idx="165">
                    <c:v>Розчин Рінгера 400 мл </c:v>
                  </c:pt>
                  <c:pt idx="166">
                    <c:v>Рукавички хірургічні латексні припудрені р.8.0</c:v>
                  </c:pt>
                  <c:pt idx="167">
                    <c:v>Рукавички хірургічні стерильні  припудрені р.6.5</c:v>
                  </c:pt>
                  <c:pt idx="168">
                    <c:v>Рукавички хірургічні стерильні  припудрені р.7.0</c:v>
                  </c:pt>
                  <c:pt idx="169">
                    <c:v>Рукавички хірургічні стерильні  припудрені р.7.5</c:v>
                  </c:pt>
                  <c:pt idx="170">
                    <c:v>Рукавички хірургічні стерильні  припудрені р.8.5</c:v>
                  </c:pt>
                  <c:pt idx="171">
                    <c:v>Септил  100 мл</c:v>
                  </c:pt>
                  <c:pt idx="172">
                    <c:v>Септил  100 мл 70%</c:v>
                  </c:pt>
                  <c:pt idx="173">
                    <c:v>Солкосерил очний гель</c:v>
                  </c:pt>
                  <c:pt idx="174">
                    <c:v>Тракріум амп 10 мг/мл 2.5 мл №5</c:v>
                  </c:pt>
                  <c:pt idx="175">
                    <c:v>Феноферін очні краплі</c:v>
                  </c:pt>
                  <c:pt idx="176">
                    <c:v>Флоксал очна мазь</c:v>
                  </c:pt>
                  <c:pt idx="177">
                    <c:v>Фуросемід амп №10</c:v>
                  </c:pt>
                  <c:pt idx="178">
                    <c:v>Халат хірургічний</c:v>
                  </c:pt>
                  <c:pt idx="179">
                    <c:v>Цефоктам 0.75 г фл №5</c:v>
                  </c:pt>
                  <c:pt idx="180">
                    <c:v>Цефоктам фл №1</c:v>
                  </c:pt>
                  <c:pt idx="181">
                    <c:v>Цефоктам фл №5</c:v>
                  </c:pt>
                  <c:pt idx="182">
                    <c:v>Цикломед очні краплі</c:v>
                  </c:pt>
                  <c:pt idx="183">
                    <c:v>Ципрофрм очні краплі 0,3% 10 мл</c:v>
                  </c:pt>
                  <c:pt idx="184">
                    <c:v>Шапочка-берет</c:v>
                  </c:pt>
                  <c:pt idx="185">
                    <c:v>Шприць 1,0 мл</c:v>
                  </c:pt>
                  <c:pt idx="186">
                    <c:v>Шприць 2,0 мл </c:v>
                  </c:pt>
                  <c:pt idx="187">
                    <c:v>Шприць 5,0 мл </c:v>
                  </c:pt>
                  <c:pt idx="188">
                    <c:v>Шприць 20,0</c:v>
                  </c:pt>
                  <c:pt idx="189">
                    <c:v>Шприць 10,0</c:v>
                  </c:pt>
                  <c:pt idx="196">
                    <c:v>Х</c:v>
                  </c:pt>
                </c:lvl>
                <c:lvl>
                  <c:pt idx="0">
                    <c:v>В натуральній формі (товари і послуги), тис.грн.</c:v>
                  </c:pt>
                  <c:pt idx="1">
                    <c:v>10.390</c:v>
                  </c:pt>
                  <c:pt idx="2">
                    <c:v>0.280</c:v>
                  </c:pt>
                  <c:pt idx="3">
                    <c:v>4.350</c:v>
                  </c:pt>
                  <c:pt idx="4">
                    <c:v>4.154</c:v>
                  </c:pt>
                  <c:pt idx="5">
                    <c:v>10.899</c:v>
                  </c:pt>
                  <c:pt idx="6">
                    <c:v>0.300</c:v>
                  </c:pt>
                  <c:pt idx="7">
                    <c:v>0.270</c:v>
                  </c:pt>
                  <c:pt idx="8">
                    <c:v>0.630</c:v>
                  </c:pt>
                  <c:pt idx="9">
                    <c:v>1.140</c:v>
                  </c:pt>
                  <c:pt idx="10">
                    <c:v>1.165</c:v>
                  </c:pt>
                  <c:pt idx="11">
                    <c:v>2.454</c:v>
                  </c:pt>
                  <c:pt idx="12">
                    <c:v>0.190</c:v>
                  </c:pt>
                  <c:pt idx="13">
                    <c:v>0.190</c:v>
                  </c:pt>
                  <c:pt idx="14">
                    <c:v>2.200</c:v>
                  </c:pt>
                  <c:pt idx="15">
                    <c:v>2.000</c:v>
                  </c:pt>
                  <c:pt idx="16">
                    <c:v>0.695</c:v>
                  </c:pt>
                  <c:pt idx="17">
                    <c:v>0.600</c:v>
                  </c:pt>
                  <c:pt idx="18">
                    <c:v>0.280</c:v>
                  </c:pt>
                  <c:pt idx="19">
                    <c:v>1.462</c:v>
                  </c:pt>
                  <c:pt idx="20">
                    <c:v>8.308</c:v>
                  </c:pt>
                  <c:pt idx="21">
                    <c:v>20.780</c:v>
                  </c:pt>
                  <c:pt idx="22">
                    <c:v>0.600</c:v>
                  </c:pt>
                  <c:pt idx="23">
                    <c:v>0.250</c:v>
                  </c:pt>
                  <c:pt idx="24">
                    <c:v>0.555</c:v>
                  </c:pt>
                  <c:pt idx="25">
                    <c:v>0.555</c:v>
                  </c:pt>
                  <c:pt idx="26">
                    <c:v>1.136</c:v>
                  </c:pt>
                  <c:pt idx="27">
                    <c:v>1.280</c:v>
                  </c:pt>
                  <c:pt idx="28">
                    <c:v>1.140</c:v>
                  </c:pt>
                  <c:pt idx="29">
                    <c:v>2.750</c:v>
                  </c:pt>
                  <c:pt idx="30">
                    <c:v>2.330</c:v>
                  </c:pt>
                  <c:pt idx="31">
                    <c:v>26.2995</c:v>
                  </c:pt>
                  <c:pt idx="32">
                    <c:v>8.724</c:v>
                  </c:pt>
                  <c:pt idx="33">
                    <c:v>0.002</c:v>
                  </c:pt>
                  <c:pt idx="34">
                    <c:v>0.037</c:v>
                  </c:pt>
                  <c:pt idx="35">
                    <c:v>0.019</c:v>
                  </c:pt>
                  <c:pt idx="36">
                    <c:v>0.052</c:v>
                  </c:pt>
                  <c:pt idx="37">
                    <c:v>0.755</c:v>
                  </c:pt>
                  <c:pt idx="38">
                    <c:v>0.829</c:v>
                  </c:pt>
                  <c:pt idx="39">
                    <c:v>3.187</c:v>
                  </c:pt>
                  <c:pt idx="40">
                    <c:v>0.514</c:v>
                  </c:pt>
                  <c:pt idx="41">
                    <c:v>1.317</c:v>
                  </c:pt>
                  <c:pt idx="42">
                    <c:v>0.890</c:v>
                  </c:pt>
                  <c:pt idx="43">
                    <c:v>0.193</c:v>
                  </c:pt>
                  <c:pt idx="44">
                    <c:v>1.171</c:v>
                  </c:pt>
                  <c:pt idx="45">
                    <c:v>0.028</c:v>
                  </c:pt>
                  <c:pt idx="46">
                    <c:v>0.019</c:v>
                  </c:pt>
                  <c:pt idx="47">
                    <c:v>0.347</c:v>
                  </c:pt>
                  <c:pt idx="48">
                    <c:v>0.552</c:v>
                  </c:pt>
                  <c:pt idx="49">
                    <c:v>0.355</c:v>
                  </c:pt>
                  <c:pt idx="50">
                    <c:v>0.210</c:v>
                  </c:pt>
                  <c:pt idx="51">
                    <c:v>0.201</c:v>
                  </c:pt>
                  <c:pt idx="52">
                    <c:v>1.284</c:v>
                  </c:pt>
                  <c:pt idx="53">
                    <c:v>0.805</c:v>
                  </c:pt>
                  <c:pt idx="54">
                    <c:v>0.445</c:v>
                  </c:pt>
                  <c:pt idx="55">
                    <c:v>0.247</c:v>
                  </c:pt>
                  <c:pt idx="56">
                    <c:v>0.325</c:v>
                  </c:pt>
                  <c:pt idx="57">
                    <c:v>4.237</c:v>
                  </c:pt>
                  <c:pt idx="58">
                    <c:v>0.249</c:v>
                  </c:pt>
                  <c:pt idx="59">
                    <c:v>0.017</c:v>
                  </c:pt>
                  <c:pt idx="60">
                    <c:v>0.274</c:v>
                  </c:pt>
                  <c:pt idx="61">
                    <c:v>1.589</c:v>
                  </c:pt>
                  <c:pt idx="62">
                    <c:v>3.860</c:v>
                  </c:pt>
                  <c:pt idx="63">
                    <c:v>0.205</c:v>
                  </c:pt>
                  <c:pt idx="64">
                    <c:v>0.481</c:v>
                  </c:pt>
                  <c:pt idx="65">
                    <c:v>0.195</c:v>
                  </c:pt>
                  <c:pt idx="66">
                    <c:v>0.272</c:v>
                  </c:pt>
                  <c:pt idx="67">
                    <c:v>0.441</c:v>
                  </c:pt>
                  <c:pt idx="68">
                    <c:v>0.832</c:v>
                  </c:pt>
                  <c:pt idx="69">
                    <c:v>0.023</c:v>
                  </c:pt>
                  <c:pt idx="70">
                    <c:v>0.023</c:v>
                  </c:pt>
                  <c:pt idx="71">
                    <c:v>0.023</c:v>
                  </c:pt>
                  <c:pt idx="72">
                    <c:v>0.692</c:v>
                  </c:pt>
                  <c:pt idx="73">
                    <c:v>15.636</c:v>
                  </c:pt>
                  <c:pt idx="74">
                    <c:v>0.119</c:v>
                  </c:pt>
                  <c:pt idx="75">
                    <c:v>3.884</c:v>
                  </c:pt>
                  <c:pt idx="76">
                    <c:v>4.298</c:v>
                  </c:pt>
                  <c:pt idx="77">
                    <c:v>3.377</c:v>
                  </c:pt>
                  <c:pt idx="78">
                    <c:v>2.763</c:v>
                  </c:pt>
                  <c:pt idx="79">
                    <c:v>1.228</c:v>
                  </c:pt>
                  <c:pt idx="80">
                    <c:v>0.921</c:v>
                  </c:pt>
                  <c:pt idx="81">
                    <c:v>1.775</c:v>
                  </c:pt>
                  <c:pt idx="82">
                    <c:v>2.763</c:v>
                  </c:pt>
                  <c:pt idx="83">
                    <c:v>1.775</c:v>
                  </c:pt>
                  <c:pt idx="84">
                    <c:v>2.979</c:v>
                  </c:pt>
                  <c:pt idx="85">
                    <c:v>4.377</c:v>
                  </c:pt>
                  <c:pt idx="86">
                    <c:v>0.589</c:v>
                  </c:pt>
                  <c:pt idx="87">
                    <c:v>0.026</c:v>
                  </c:pt>
                  <c:pt idx="88">
                    <c:v>1.923</c:v>
                  </c:pt>
                  <c:pt idx="89">
                    <c:v>0.951</c:v>
                  </c:pt>
                  <c:pt idx="90">
                    <c:v>13.176</c:v>
                  </c:pt>
                  <c:pt idx="91">
                    <c:v>0.192</c:v>
                  </c:pt>
                  <c:pt idx="92">
                    <c:v>0.365</c:v>
                  </c:pt>
                  <c:pt idx="93">
                    <c:v>0.637</c:v>
                  </c:pt>
                  <c:pt idx="94">
                    <c:v>0.956</c:v>
                  </c:pt>
                  <c:pt idx="95">
                    <c:v>0.535</c:v>
                  </c:pt>
                  <c:pt idx="96">
                    <c:v>1.537</c:v>
                  </c:pt>
                  <c:pt idx="97">
                    <c:v>0.679</c:v>
                  </c:pt>
                  <c:pt idx="98">
                    <c:v>0.602</c:v>
                  </c:pt>
                  <c:pt idx="99">
                    <c:v>1.345</c:v>
                  </c:pt>
                  <c:pt idx="100">
                    <c:v>0.462</c:v>
                  </c:pt>
                  <c:pt idx="101">
                    <c:v>1.700</c:v>
                  </c:pt>
                  <c:pt idx="103">
                    <c:v>13.105</c:v>
                  </c:pt>
                  <c:pt idx="104">
                    <c:v>1.500</c:v>
                  </c:pt>
                  <c:pt idx="105">
                    <c:v>0.010</c:v>
                  </c:pt>
                  <c:pt idx="106">
                    <c:v>0.055</c:v>
                  </c:pt>
                  <c:pt idx="107">
                    <c:v>0.960</c:v>
                  </c:pt>
                  <c:pt idx="108">
                    <c:v>0.960</c:v>
                  </c:pt>
                  <c:pt idx="109">
                    <c:v>1.750</c:v>
                  </c:pt>
                  <c:pt idx="110">
                    <c:v>26.300</c:v>
                  </c:pt>
                  <c:pt idx="111">
                    <c:v>21.800</c:v>
                  </c:pt>
                  <c:pt idx="112">
                    <c:v>0.420</c:v>
                  </c:pt>
                  <c:pt idx="113">
                    <c:v>0.300</c:v>
                  </c:pt>
                  <c:pt idx="114">
                    <c:v>0.580</c:v>
                  </c:pt>
                  <c:pt idx="115">
                    <c:v>0.290</c:v>
                  </c:pt>
                  <c:pt idx="116">
                    <c:v>0.570</c:v>
                  </c:pt>
                  <c:pt idx="117">
                    <c:v>1.300</c:v>
                  </c:pt>
                  <c:pt idx="118">
                    <c:v>0.508</c:v>
                  </c:pt>
                  <c:pt idx="119">
                    <c:v>0.570</c:v>
                  </c:pt>
                  <c:pt idx="120">
                    <c:v>2.328</c:v>
                  </c:pt>
                  <c:pt idx="121">
                    <c:v>7.070</c:v>
                  </c:pt>
                  <c:pt idx="122">
                    <c:v>9.889</c:v>
                  </c:pt>
                  <c:pt idx="123">
                    <c:v>0.139</c:v>
                  </c:pt>
                  <c:pt idx="124">
                    <c:v>0.019</c:v>
                  </c:pt>
                  <c:pt idx="125">
                    <c:v>0.100</c:v>
                  </c:pt>
                  <c:pt idx="126">
                    <c:v>0.120</c:v>
                  </c:pt>
                  <c:pt idx="127">
                    <c:v>2.505</c:v>
                  </c:pt>
                  <c:pt idx="128">
                    <c:v>1.028</c:v>
                  </c:pt>
                  <c:pt idx="129">
                    <c:v>2.765</c:v>
                  </c:pt>
                  <c:pt idx="130">
                    <c:v>0.041</c:v>
                  </c:pt>
                  <c:pt idx="131">
                    <c:v>1.036</c:v>
                  </c:pt>
                  <c:pt idx="132">
                    <c:v>0.067</c:v>
                  </c:pt>
                  <c:pt idx="133">
                    <c:v>0.212</c:v>
                  </c:pt>
                  <c:pt idx="134">
                    <c:v>0.092</c:v>
                  </c:pt>
                  <c:pt idx="135">
                    <c:v>1.002</c:v>
                  </c:pt>
                  <c:pt idx="136">
                    <c:v>0.869</c:v>
                  </c:pt>
                  <c:pt idx="137">
                    <c:v>15.589</c:v>
                  </c:pt>
                  <c:pt idx="138">
                    <c:v>0.059</c:v>
                  </c:pt>
                  <c:pt idx="139">
                    <c:v>0.695</c:v>
                  </c:pt>
                  <c:pt idx="140">
                    <c:v>0.184</c:v>
                  </c:pt>
                  <c:pt idx="141">
                    <c:v>0.019</c:v>
                  </c:pt>
                  <c:pt idx="142">
                    <c:v>0.885</c:v>
                  </c:pt>
                  <c:pt idx="143">
                    <c:v>0.110</c:v>
                  </c:pt>
                  <c:pt idx="144">
                    <c:v>0.542</c:v>
                  </c:pt>
                  <c:pt idx="145">
                    <c:v>0.323</c:v>
                  </c:pt>
                  <c:pt idx="146">
                    <c:v>1.312</c:v>
                  </c:pt>
                  <c:pt idx="147">
                    <c:v>0.212</c:v>
                  </c:pt>
                  <c:pt idx="148">
                    <c:v>0.249</c:v>
                  </c:pt>
                  <c:pt idx="149">
                    <c:v>0.756</c:v>
                  </c:pt>
                  <c:pt idx="150">
                    <c:v>0.218</c:v>
                  </c:pt>
                  <c:pt idx="151">
                    <c:v>2.346</c:v>
                  </c:pt>
                  <c:pt idx="152">
                    <c:v>0.057</c:v>
                  </c:pt>
                  <c:pt idx="153">
                    <c:v>5.126</c:v>
                  </c:pt>
                  <c:pt idx="154">
                    <c:v>0.845</c:v>
                  </c:pt>
                  <c:pt idx="155">
                    <c:v>0.060</c:v>
                  </c:pt>
                  <c:pt idx="156">
                    <c:v>13.697</c:v>
                  </c:pt>
                  <c:pt idx="157">
                    <c:v>0.459</c:v>
                  </c:pt>
                  <c:pt idx="158">
                    <c:v>0.231</c:v>
                  </c:pt>
                  <c:pt idx="159">
                    <c:v>0.053</c:v>
                  </c:pt>
                  <c:pt idx="160">
                    <c:v>0.201</c:v>
                  </c:pt>
                  <c:pt idx="161">
                    <c:v>0.219</c:v>
                  </c:pt>
                  <c:pt idx="162">
                    <c:v>1.681</c:v>
                  </c:pt>
                  <c:pt idx="163">
                    <c:v>0.206</c:v>
                  </c:pt>
                  <c:pt idx="164">
                    <c:v>10.099</c:v>
                  </c:pt>
                  <c:pt idx="165">
                    <c:v>11.031</c:v>
                  </c:pt>
                  <c:pt idx="166">
                    <c:v>0.730</c:v>
                  </c:pt>
                  <c:pt idx="167">
                    <c:v>2.404</c:v>
                  </c:pt>
                  <c:pt idx="168">
                    <c:v>4.087</c:v>
                  </c:pt>
                  <c:pt idx="169">
                    <c:v>4.327</c:v>
                  </c:pt>
                  <c:pt idx="170">
                    <c:v>3.306</c:v>
                  </c:pt>
                  <c:pt idx="171">
                    <c:v>2.321</c:v>
                  </c:pt>
                  <c:pt idx="172">
                    <c:v>1.735</c:v>
                  </c:pt>
                  <c:pt idx="173">
                    <c:v>2.340</c:v>
                  </c:pt>
                  <c:pt idx="174">
                    <c:v>1.835</c:v>
                  </c:pt>
                  <c:pt idx="175">
                    <c:v>0.490</c:v>
                  </c:pt>
                  <c:pt idx="176">
                    <c:v>6.763</c:v>
                  </c:pt>
                  <c:pt idx="177">
                    <c:v>0.192</c:v>
                  </c:pt>
                  <c:pt idx="178">
                    <c:v>0.475</c:v>
                  </c:pt>
                  <c:pt idx="179">
                    <c:v>0.682</c:v>
                  </c:pt>
                  <c:pt idx="180">
                    <c:v>2.071</c:v>
                  </c:pt>
                  <c:pt idx="181">
                    <c:v>0.682</c:v>
                  </c:pt>
                  <c:pt idx="182">
                    <c:v>2.649</c:v>
                  </c:pt>
                  <c:pt idx="183">
                    <c:v>0.221</c:v>
                  </c:pt>
                  <c:pt idx="184">
                    <c:v>0.993</c:v>
                  </c:pt>
                  <c:pt idx="185">
                    <c:v>1.945</c:v>
                  </c:pt>
                  <c:pt idx="186">
                    <c:v>1.894</c:v>
                  </c:pt>
                  <c:pt idx="187">
                    <c:v>1.778</c:v>
                  </c:pt>
                  <c:pt idx="188">
                    <c:v>1.414</c:v>
                  </c:pt>
                  <c:pt idx="189">
                    <c:v>0.151</c:v>
                  </c:pt>
                  <c:pt idx="196">
                    <c:v>430.331</c:v>
                  </c:pt>
                </c:lvl>
                <c:lvl>
                  <c:pt idx="0">
                    <c:v>В грошовій формі, тис.грн.</c:v>
                  </c:pt>
                  <c:pt idx="102">
                    <c:v>14.691</c:v>
                  </c:pt>
                  <c:pt idx="196">
                    <c:v>14.691</c:v>
                  </c:pt>
                </c:lvl>
                <c:lvl>
                  <c:pt idx="1">
                    <c:v>ФОП Качур  А.М</c:v>
                  </c:pt>
                  <c:pt idx="14">
                    <c:v>ТОВ "ВЕЛТА ТРЕЙДІНГ"</c:v>
                  </c:pt>
                  <c:pt idx="31">
                    <c:v>ДП "Біоімплант" МОЗ України</c:v>
                  </c:pt>
                  <c:pt idx="32">
                    <c:v>Благодійний фонд "Здоров'я України"</c:v>
                  </c:pt>
                  <c:pt idx="101">
                    <c:v>Волонтерський рух "Блюз за Україну"</c:v>
                  </c:pt>
                  <c:pt idx="102">
                    <c:v>Фізичні особи</c:v>
                  </c:pt>
                  <c:pt idx="103">
                    <c:v>КОНЗ "Іларіонівска ЗОШ І-ІІІ ступенів"</c:v>
                  </c:pt>
                  <c:pt idx="110">
                    <c:v>ДП "Біоімплант" МОЗ України</c:v>
                  </c:pt>
                  <c:pt idx="111">
                    <c:v>ФОП Качур  А.М</c:v>
                  </c:pt>
                  <c:pt idx="121">
                    <c:v>Благодійний фонд "Здоров'я України"</c:v>
                  </c:pt>
                </c:lvl>
                <c:lvl>
                  <c:pt idx="1">
                    <c:v>І квартал</c:v>
                  </c:pt>
                  <c:pt idx="103">
                    <c:v>ІІ квартал</c:v>
                  </c:pt>
                  <c:pt idx="192">
                    <c:v>ІІІ квартал</c:v>
                  </c:pt>
                  <c:pt idx="194">
                    <c:v>ІV квартал</c:v>
                  </c:pt>
                  <c:pt idx="196">
                    <c:v>Всього за рік</c:v>
                  </c:pt>
                </c:lvl>
              </c:multiLvlStrCache>
            </c:multiLvlStrRef>
          </c:cat>
          <c:val>
            <c:numRef>
              <c:f>'На стенд ІІ квартал_по приходу'!$J$12:$J$208</c:f>
              <c:numCache>
                <c:formatCode>0.000</c:formatCode>
                <c:ptCount val="197"/>
                <c:pt idx="0">
                  <c:v>0</c:v>
                </c:pt>
                <c:pt idx="1">
                  <c:v>10.39</c:v>
                </c:pt>
                <c:pt idx="2">
                  <c:v>0.28000000000000003</c:v>
                </c:pt>
                <c:pt idx="3">
                  <c:v>4.3499999999999996</c:v>
                </c:pt>
                <c:pt idx="4">
                  <c:v>4.1539999999999999</c:v>
                </c:pt>
                <c:pt idx="5">
                  <c:v>10.898999999999999</c:v>
                </c:pt>
                <c:pt idx="6">
                  <c:v>0.3</c:v>
                </c:pt>
                <c:pt idx="7">
                  <c:v>0.27</c:v>
                </c:pt>
                <c:pt idx="8">
                  <c:v>0.63</c:v>
                </c:pt>
                <c:pt idx="9">
                  <c:v>1.1399999999999999</c:v>
                </c:pt>
                <c:pt idx="10">
                  <c:v>1.165</c:v>
                </c:pt>
                <c:pt idx="11">
                  <c:v>2.4540000000000002</c:v>
                </c:pt>
                <c:pt idx="12">
                  <c:v>0.19</c:v>
                </c:pt>
                <c:pt idx="13">
                  <c:v>0.19</c:v>
                </c:pt>
                <c:pt idx="14">
                  <c:v>2.2000000000000002</c:v>
                </c:pt>
                <c:pt idx="15">
                  <c:v>2</c:v>
                </c:pt>
                <c:pt idx="16">
                  <c:v>0.69499999999999995</c:v>
                </c:pt>
                <c:pt idx="17">
                  <c:v>0.6</c:v>
                </c:pt>
                <c:pt idx="18">
                  <c:v>0.28000000000000003</c:v>
                </c:pt>
                <c:pt idx="19">
                  <c:v>1.462</c:v>
                </c:pt>
                <c:pt idx="20">
                  <c:v>8.3079999999999998</c:v>
                </c:pt>
                <c:pt idx="21">
                  <c:v>20.78</c:v>
                </c:pt>
                <c:pt idx="22">
                  <c:v>0.6</c:v>
                </c:pt>
                <c:pt idx="23">
                  <c:v>0.25</c:v>
                </c:pt>
                <c:pt idx="24">
                  <c:v>0.55499999999999994</c:v>
                </c:pt>
                <c:pt idx="25">
                  <c:v>0.55499999999999994</c:v>
                </c:pt>
                <c:pt idx="26">
                  <c:v>1.1359999999999999</c:v>
                </c:pt>
                <c:pt idx="27">
                  <c:v>1.28</c:v>
                </c:pt>
                <c:pt idx="28">
                  <c:v>1.1399999999999999</c:v>
                </c:pt>
                <c:pt idx="29">
                  <c:v>2.75</c:v>
                </c:pt>
                <c:pt idx="30">
                  <c:v>2.33</c:v>
                </c:pt>
                <c:pt idx="31" formatCode="0.0000">
                  <c:v>26.299499999999998</c:v>
                </c:pt>
                <c:pt idx="32">
                  <c:v>5.5982400000000005</c:v>
                </c:pt>
                <c:pt idx="33">
                  <c:v>0</c:v>
                </c:pt>
                <c:pt idx="34">
                  <c:v>3.5520000000000003E-2</c:v>
                </c:pt>
                <c:pt idx="35">
                  <c:v>1.917E-2</c:v>
                </c:pt>
                <c:pt idx="36">
                  <c:v>5.1700000000000003E-2</c:v>
                </c:pt>
                <c:pt idx="37">
                  <c:v>0.63372000000000006</c:v>
                </c:pt>
                <c:pt idx="38">
                  <c:v>0.26157999999999998</c:v>
                </c:pt>
                <c:pt idx="39">
                  <c:v>1.37144</c:v>
                </c:pt>
                <c:pt idx="40">
                  <c:v>0.25700000000000001</c:v>
                </c:pt>
                <c:pt idx="41">
                  <c:v>0</c:v>
                </c:pt>
                <c:pt idx="42">
                  <c:v>5.9319999999999998E-2</c:v>
                </c:pt>
                <c:pt idx="43">
                  <c:v>0.19261</c:v>
                </c:pt>
                <c:pt idx="44">
                  <c:v>0.37809999999999988</c:v>
                </c:pt>
                <c:pt idx="45">
                  <c:v>1.421E-2</c:v>
                </c:pt>
                <c:pt idx="46">
                  <c:v>1.864E-2</c:v>
                </c:pt>
                <c:pt idx="47">
                  <c:v>0.34721000000000002</c:v>
                </c:pt>
                <c:pt idx="48">
                  <c:v>0.51222999999999996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0.64175000000000004</c:v>
                </c:pt>
                <c:pt idx="53">
                  <c:v>0.42736000000000002</c:v>
                </c:pt>
                <c:pt idx="54">
                  <c:v>0.33737</c:v>
                </c:pt>
                <c:pt idx="55">
                  <c:v>0</c:v>
                </c:pt>
                <c:pt idx="56">
                  <c:v>0</c:v>
                </c:pt>
                <c:pt idx="57">
                  <c:v>3.5310000000000001</c:v>
                </c:pt>
                <c:pt idx="58">
                  <c:v>0.11748</c:v>
                </c:pt>
                <c:pt idx="59">
                  <c:v>1.7440000000000001E-2</c:v>
                </c:pt>
                <c:pt idx="60">
                  <c:v>0</c:v>
                </c:pt>
                <c:pt idx="61">
                  <c:v>0.97269000000000005</c:v>
                </c:pt>
                <c:pt idx="62">
                  <c:v>2.1232000000000002</c:v>
                </c:pt>
                <c:pt idx="63">
                  <c:v>0.20480000000000001</c:v>
                </c:pt>
                <c:pt idx="64">
                  <c:v>0.48060000000000003</c:v>
                </c:pt>
                <c:pt idx="65">
                  <c:v>0.14268</c:v>
                </c:pt>
                <c:pt idx="66">
                  <c:v>0</c:v>
                </c:pt>
                <c:pt idx="67">
                  <c:v>9.2480000000000007E-2</c:v>
                </c:pt>
                <c:pt idx="68">
                  <c:v>0.1694</c:v>
                </c:pt>
                <c:pt idx="69">
                  <c:v>0</c:v>
                </c:pt>
                <c:pt idx="70">
                  <c:v>1.125E-2</c:v>
                </c:pt>
                <c:pt idx="71">
                  <c:v>0</c:v>
                </c:pt>
                <c:pt idx="72">
                  <c:v>0</c:v>
                </c:pt>
                <c:pt idx="73">
                  <c:v>11.829700000000001</c:v>
                </c:pt>
                <c:pt idx="74">
                  <c:v>0</c:v>
                </c:pt>
                <c:pt idx="75">
                  <c:v>3.4827499999999998</c:v>
                </c:pt>
                <c:pt idx="76">
                  <c:v>1.5349999999999999</c:v>
                </c:pt>
                <c:pt idx="77">
                  <c:v>1.5964</c:v>
                </c:pt>
                <c:pt idx="78">
                  <c:v>2.149</c:v>
                </c:pt>
                <c:pt idx="79">
                  <c:v>1.228</c:v>
                </c:pt>
                <c:pt idx="80">
                  <c:v>0.92100000000000004</c:v>
                </c:pt>
                <c:pt idx="81">
                  <c:v>1.7751300000000001</c:v>
                </c:pt>
                <c:pt idx="82">
                  <c:v>2.456</c:v>
                </c:pt>
                <c:pt idx="83">
                  <c:v>1.7751300000000001</c:v>
                </c:pt>
                <c:pt idx="84">
                  <c:v>2.0543999999999998</c:v>
                </c:pt>
                <c:pt idx="85">
                  <c:v>1.9378</c:v>
                </c:pt>
                <c:pt idx="86">
                  <c:v>0</c:v>
                </c:pt>
                <c:pt idx="87">
                  <c:v>2.6329999999999999E-2</c:v>
                </c:pt>
                <c:pt idx="88">
                  <c:v>0.27472999999999997</c:v>
                </c:pt>
                <c:pt idx="89">
                  <c:v>0</c:v>
                </c:pt>
                <c:pt idx="90">
                  <c:v>10.27764</c:v>
                </c:pt>
                <c:pt idx="91">
                  <c:v>7.3669999999999999E-2</c:v>
                </c:pt>
                <c:pt idx="92">
                  <c:v>0.21293999999999999</c:v>
                </c:pt>
                <c:pt idx="93">
                  <c:v>0.63729000000000002</c:v>
                </c:pt>
                <c:pt idx="94">
                  <c:v>0.38250000000000001</c:v>
                </c:pt>
                <c:pt idx="95">
                  <c:v>0.36420000000000002</c:v>
                </c:pt>
                <c:pt idx="96">
                  <c:v>0.55656000000000005</c:v>
                </c:pt>
                <c:pt idx="97">
                  <c:v>0.27644999999999997</c:v>
                </c:pt>
                <c:pt idx="98">
                  <c:v>0.49362</c:v>
                </c:pt>
                <c:pt idx="99">
                  <c:v>0.70411999999999997</c:v>
                </c:pt>
                <c:pt idx="100">
                  <c:v>4.6199999999999998E-2</c:v>
                </c:pt>
                <c:pt idx="101">
                  <c:v>0</c:v>
                </c:pt>
                <c:pt idx="103">
                  <c:v>13.105</c:v>
                </c:pt>
                <c:pt idx="104">
                  <c:v>1.5</c:v>
                </c:pt>
                <c:pt idx="105">
                  <c:v>0.01</c:v>
                </c:pt>
                <c:pt idx="106">
                  <c:v>5.5E-2</c:v>
                </c:pt>
                <c:pt idx="107">
                  <c:v>0.96</c:v>
                </c:pt>
                <c:pt idx="108">
                  <c:v>0.96</c:v>
                </c:pt>
                <c:pt idx="109">
                  <c:v>1.75</c:v>
                </c:pt>
                <c:pt idx="110">
                  <c:v>26.299499999999998</c:v>
                </c:pt>
                <c:pt idx="111">
                  <c:v>21.8</c:v>
                </c:pt>
                <c:pt idx="112">
                  <c:v>0.42000000000000004</c:v>
                </c:pt>
                <c:pt idx="113">
                  <c:v>0.3</c:v>
                </c:pt>
                <c:pt idx="114">
                  <c:v>0.57999999999999996</c:v>
                </c:pt>
                <c:pt idx="115">
                  <c:v>0.28999999999999998</c:v>
                </c:pt>
                <c:pt idx="116">
                  <c:v>0.56999999999999995</c:v>
                </c:pt>
                <c:pt idx="117">
                  <c:v>1.3</c:v>
                </c:pt>
                <c:pt idx="118">
                  <c:v>0.50800000000000001</c:v>
                </c:pt>
                <c:pt idx="119">
                  <c:v>0.56999999999999995</c:v>
                </c:pt>
                <c:pt idx="120">
                  <c:v>2.3279999999999998</c:v>
                </c:pt>
                <c:pt idx="121">
                  <c:v>5.8006700000000002</c:v>
                </c:pt>
                <c:pt idx="122">
                  <c:v>6.4990900000000007</c:v>
                </c:pt>
                <c:pt idx="123">
                  <c:v>7.4770000000000003E-2</c:v>
                </c:pt>
                <c:pt idx="124">
                  <c:v>1.917E-2</c:v>
                </c:pt>
                <c:pt idx="125">
                  <c:v>4.7E-2</c:v>
                </c:pt>
                <c:pt idx="126">
                  <c:v>0.11984</c:v>
                </c:pt>
                <c:pt idx="127">
                  <c:v>2.5046599999999999</c:v>
                </c:pt>
                <c:pt idx="128">
                  <c:v>0.89949999999999997</c:v>
                </c:pt>
                <c:pt idx="129">
                  <c:v>0</c:v>
                </c:pt>
                <c:pt idx="130">
                  <c:v>4.1239999999999999E-2</c:v>
                </c:pt>
                <c:pt idx="131">
                  <c:v>0.7885899999999999</c:v>
                </c:pt>
                <c:pt idx="132">
                  <c:v>2.6859999999999998E-2</c:v>
                </c:pt>
                <c:pt idx="133">
                  <c:v>0.11751</c:v>
                </c:pt>
                <c:pt idx="134">
                  <c:v>7.9559999999999992E-2</c:v>
                </c:pt>
                <c:pt idx="135">
                  <c:v>1.00248</c:v>
                </c:pt>
                <c:pt idx="136">
                  <c:v>0.86854000000000009</c:v>
                </c:pt>
                <c:pt idx="137">
                  <c:v>14.03021</c:v>
                </c:pt>
                <c:pt idx="138">
                  <c:v>2.5250000000000002E-2</c:v>
                </c:pt>
                <c:pt idx="139">
                  <c:v>0.69474999999999998</c:v>
                </c:pt>
                <c:pt idx="140">
                  <c:v>0.18388000000000002</c:v>
                </c:pt>
                <c:pt idx="141">
                  <c:v>0</c:v>
                </c:pt>
                <c:pt idx="142">
                  <c:v>0.88500000000000001</c:v>
                </c:pt>
                <c:pt idx="143">
                  <c:v>6.5699999999999995E-2</c:v>
                </c:pt>
                <c:pt idx="144">
                  <c:v>0.32768000000000003</c:v>
                </c:pt>
                <c:pt idx="145">
                  <c:v>0.32250000000000001</c:v>
                </c:pt>
                <c:pt idx="146">
                  <c:v>1.05121</c:v>
                </c:pt>
                <c:pt idx="147">
                  <c:v>0.21185999999999999</c:v>
                </c:pt>
                <c:pt idx="148">
                  <c:v>0</c:v>
                </c:pt>
                <c:pt idx="149">
                  <c:v>0.75600000000000001</c:v>
                </c:pt>
                <c:pt idx="150">
                  <c:v>6.5409999999999996E-2</c:v>
                </c:pt>
                <c:pt idx="151">
                  <c:v>1.17286</c:v>
                </c:pt>
                <c:pt idx="152">
                  <c:v>5.6599999999999998E-2</c:v>
                </c:pt>
                <c:pt idx="153">
                  <c:v>5.1255100000000002</c:v>
                </c:pt>
                <c:pt idx="154">
                  <c:v>0.84545999999999999</c:v>
                </c:pt>
                <c:pt idx="155">
                  <c:v>6.0389999999999999E-2</c:v>
                </c:pt>
                <c:pt idx="156">
                  <c:v>13.13743</c:v>
                </c:pt>
                <c:pt idx="157">
                  <c:v>0.35310000000000002</c:v>
                </c:pt>
                <c:pt idx="158">
                  <c:v>0.18184</c:v>
                </c:pt>
                <c:pt idx="159">
                  <c:v>5.2639999999999999E-2</c:v>
                </c:pt>
                <c:pt idx="160">
                  <c:v>0.20127</c:v>
                </c:pt>
                <c:pt idx="161">
                  <c:v>0.11609999999999999</c:v>
                </c:pt>
                <c:pt idx="162">
                  <c:v>1.1297600000000001</c:v>
                </c:pt>
                <c:pt idx="163">
                  <c:v>0.2064</c:v>
                </c:pt>
                <c:pt idx="164">
                  <c:v>10.098660000000001</c:v>
                </c:pt>
                <c:pt idx="165">
                  <c:v>9.6731499999999997</c:v>
                </c:pt>
                <c:pt idx="166">
                  <c:v>0.73028000000000004</c:v>
                </c:pt>
                <c:pt idx="167">
                  <c:v>2.4039999999999999</c:v>
                </c:pt>
                <c:pt idx="168">
                  <c:v>2.99899</c:v>
                </c:pt>
                <c:pt idx="169">
                  <c:v>1.3823000000000001</c:v>
                </c:pt>
                <c:pt idx="170">
                  <c:v>3.3054999999999999</c:v>
                </c:pt>
                <c:pt idx="171">
                  <c:v>2.3210199999999999</c:v>
                </c:pt>
                <c:pt idx="172">
                  <c:v>1.7351300000000001</c:v>
                </c:pt>
                <c:pt idx="173">
                  <c:v>2.3398399999999997</c:v>
                </c:pt>
                <c:pt idx="174">
                  <c:v>0</c:v>
                </c:pt>
                <c:pt idx="175">
                  <c:v>0.48992999999999998</c:v>
                </c:pt>
                <c:pt idx="176">
                  <c:v>6.7630299999999997</c:v>
                </c:pt>
                <c:pt idx="177">
                  <c:v>0.16206999999999999</c:v>
                </c:pt>
                <c:pt idx="178">
                  <c:v>0.33250000000000002</c:v>
                </c:pt>
                <c:pt idx="179">
                  <c:v>0.68240000000000001</c:v>
                </c:pt>
                <c:pt idx="180">
                  <c:v>1.4976499999999999</c:v>
                </c:pt>
                <c:pt idx="181">
                  <c:v>0.68240000000000001</c:v>
                </c:pt>
                <c:pt idx="182">
                  <c:v>0.39639999999999997</c:v>
                </c:pt>
                <c:pt idx="183">
                  <c:v>0.22128</c:v>
                </c:pt>
                <c:pt idx="184">
                  <c:v>0.87656000000000001</c:v>
                </c:pt>
                <c:pt idx="185">
                  <c:v>1.43546</c:v>
                </c:pt>
                <c:pt idx="186">
                  <c:v>1.3045599999999999</c:v>
                </c:pt>
                <c:pt idx="187">
                  <c:v>1.69746</c:v>
                </c:pt>
                <c:pt idx="188">
                  <c:v>1.41435</c:v>
                </c:pt>
                <c:pt idx="189">
                  <c:v>0.15092</c:v>
                </c:pt>
                <c:pt idx="196">
                  <c:v>364.26887999999997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07-49EA-8C70-3ECB0D2FE345}"/>
            </c:ext>
          </c:extLst>
        </c:ser>
        <c:ser>
          <c:idx val="1"/>
          <c:order val="1"/>
          <c:tx>
            <c:strRef>
              <c:f>'На стенд ІІ квартал_по приходу'!$K$11</c:f>
              <c:strCache>
                <c:ptCount val="1"/>
                <c:pt idx="0">
                  <c:v>Залишок невикористаних грошових коштів, товарів та послуг на кінець звітного періоду, тис.грн.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'На стенд ІІ квартал_по приходу'!$A$12:$I$208</c:f>
              <c:multiLvlStrCache>
                <c:ptCount val="197"/>
                <c:lvl>
                  <c:pt idx="0">
                    <c:v>Перелік використаних товарів та послуг у натуральній формі </c:v>
                  </c:pt>
                  <c:pt idx="1">
                    <c:v>Комплект TOTALPLUS комбінований-7500 CPM , 25 калібру з клапанами </c:v>
                  </c:pt>
                  <c:pt idx="2">
                    <c:v>Висколон</c:v>
                  </c:pt>
                  <c:pt idx="3">
                    <c:v>Вкладиш -імплант орбітальний політе-трфторутіленовий</c:v>
                  </c:pt>
                  <c:pt idx="4">
                    <c:v>Зонд лазерний</c:v>
                  </c:pt>
                  <c:pt idx="5">
                    <c:v>Комбінований комплект COMBINEPAC</c:v>
                  </c:pt>
                  <c:pt idx="6">
                    <c:v>Наконечник з м'яким кінч. 25G</c:v>
                  </c:pt>
                  <c:pt idx="7">
                    <c:v>Ніж зігнутий для тонельного розрізу  20G</c:v>
                  </c:pt>
                  <c:pt idx="8">
                    <c:v>Ніж   20G</c:v>
                  </c:pt>
                  <c:pt idx="9">
                    <c:v>Розчин для іригації ока BBS PLUS</c:v>
                  </c:pt>
                  <c:pt idx="10">
                    <c:v>Троакар 25 G</c:v>
                  </c:pt>
                  <c:pt idx="11">
                    <c:v>Тутопласт </c:v>
                  </c:pt>
                  <c:pt idx="12">
                    <c:v>Шовк 4/0</c:v>
                  </c:pt>
                  <c:pt idx="13">
                    <c:v>Шовк 5/0</c:v>
                  </c:pt>
                  <c:pt idx="14">
                    <c:v>AKREOS Асферична інтроокулярна лінза</c:v>
                  </c:pt>
                  <c:pt idx="15">
                    <c:v>AKREOS Асферична інтроокулярна лінза</c:v>
                  </c:pt>
                  <c:pt idx="16">
                    <c:v>Комплект для бімануальних маніпул UltraFlow </c:v>
                  </c:pt>
                  <c:pt idx="17">
                    <c:v>Viscojekt (віскот+картридж)</c:v>
                  </c:pt>
                  <c:pt idx="18">
                    <c:v>Висколон</c:v>
                  </c:pt>
                  <c:pt idx="19">
                    <c:v>Вискот</c:v>
                  </c:pt>
                  <c:pt idx="20">
                    <c:v>Зонд лазерний 25G</c:v>
                  </c:pt>
                  <c:pt idx="21">
                    <c:v>Комплект TOTALPLUS комбінований-7500 CPM , 25 калібру з клапанами </c:v>
                  </c:pt>
                  <c:pt idx="22">
                    <c:v>Наконечний з м'яким кінчиком 25G</c:v>
                  </c:pt>
                  <c:pt idx="23">
                    <c:v>Нейлон моно  10/0</c:v>
                  </c:pt>
                  <c:pt idx="24">
                    <c:v>Ніж зігнутий для тонельного розрізу  2,2</c:v>
                  </c:pt>
                  <c:pt idx="25">
                    <c:v>Ніж зігнутий для тонельного розрізу  20G</c:v>
                  </c:pt>
                  <c:pt idx="26">
                    <c:v>Провіск</c:v>
                  </c:pt>
                  <c:pt idx="27">
                    <c:v>Ретрактор райдужної оболонки гнучкий</c:v>
                  </c:pt>
                  <c:pt idx="28">
                    <c:v>Розчин для іригації ока BBS PLUS</c:v>
                  </c:pt>
                  <c:pt idx="29">
                    <c:v>Силіконове масло</c:v>
                  </c:pt>
                  <c:pt idx="30">
                    <c:v>Система введення з клапоном 25 калібру</c:v>
                  </c:pt>
                  <c:pt idx="31">
                    <c:v>"Кератобіом-плантат" №ДН1/357/18R</c:v>
                  </c:pt>
                  <c:pt idx="32">
                    <c:v>Алкаїн очні краплі</c:v>
                  </c:pt>
                  <c:pt idx="33">
                    <c:v>Аміаку розчин</c:v>
                  </c:pt>
                  <c:pt idx="34">
                    <c:v>Анальгін</c:v>
                  </c:pt>
                  <c:pt idx="35">
                    <c:v>Атропін амп №10</c:v>
                  </c:pt>
                  <c:pt idx="36">
                    <c:v>Бахіли №50</c:v>
                  </c:pt>
                  <c:pt idx="37">
                    <c:v>Бетадін фл 120 мл</c:v>
                  </c:pt>
                  <c:pt idx="38">
                    <c:v>Бинт н/ст 7х14</c:v>
                  </c:pt>
                  <c:pt idx="39">
                    <c:v>Бупівакаїн 5 мг/мл</c:v>
                  </c:pt>
                  <c:pt idx="40">
                    <c:v>Ватні палички </c:v>
                  </c:pt>
                  <c:pt idx="41">
                    <c:v>Відісік очний гель</c:v>
                  </c:pt>
                  <c:pt idx="42">
                    <c:v>Гепарин-Індіар</c:v>
                  </c:pt>
                  <c:pt idx="43">
                    <c:v>Глюкоза амп №10</c:v>
                  </c:pt>
                  <c:pt idx="44">
                    <c:v>Дексаметазон №10 </c:v>
                  </c:pt>
                  <c:pt idx="45">
                    <c:v>Дексаметазон очні краплі</c:v>
                  </c:pt>
                  <c:pt idx="46">
                    <c:v>Димедрол амп №10</c:v>
                  </c:pt>
                  <c:pt idx="47">
                    <c:v>Енап амп №5</c:v>
                  </c:pt>
                  <c:pt idx="48">
                    <c:v>Етамзілат амп №10</c:v>
                  </c:pt>
                  <c:pt idx="49">
                    <c:v>Канюля в/в G16</c:v>
                  </c:pt>
                  <c:pt idx="50">
                    <c:v>Кордарон амп</c:v>
                  </c:pt>
                  <c:pt idx="51">
                    <c:v>Лазикс Нео №10</c:v>
                  </c:pt>
                  <c:pt idx="52">
                    <c:v>Ларингеальна  маска р.1</c:v>
                  </c:pt>
                  <c:pt idx="53">
                    <c:v>Лідокаїн амп№10</c:v>
                  </c:pt>
                  <c:pt idx="54">
                    <c:v>Маска</c:v>
                  </c:pt>
                  <c:pt idx="55">
                    <c:v>Метранідазол 100 мл</c:v>
                  </c:pt>
                  <c:pt idx="56">
                    <c:v>Натрія гідрокарб. 200 мл</c:v>
                  </c:pt>
                  <c:pt idx="57">
                    <c:v>Натрія хлорид 0,9% 200 мл</c:v>
                  </c:pt>
                  <c:pt idx="58">
                    <c:v>Натрія хлорид амп №10</c:v>
                  </c:pt>
                  <c:pt idx="59">
                    <c:v>Но-х-ша амп №5</c:v>
                  </c:pt>
                  <c:pt idx="60">
                    <c:v>Но-шпа амп №25</c:v>
                  </c:pt>
                  <c:pt idx="61">
                    <c:v>Ондасетрон амп</c:v>
                  </c:pt>
                  <c:pt idx="62">
                    <c:v>Офтавікс очні краплі</c:v>
                  </c:pt>
                  <c:pt idx="63">
                    <c:v>Офтимол очні краплі</c:v>
                  </c:pt>
                  <c:pt idx="64">
                    <c:v>Палички ватні №200</c:v>
                  </c:pt>
                  <c:pt idx="65">
                    <c:v>Пелюшки сечопоглин. №30</c:v>
                  </c:pt>
                  <c:pt idx="66">
                    <c:v>Пелюшка 40х60см  №30</c:v>
                  </c:pt>
                  <c:pt idx="67">
                    <c:v>Пилокарпин очні краплі</c:v>
                  </c:pt>
                  <c:pt idx="68">
                    <c:v>Пластир медичний </c:v>
                  </c:pt>
                  <c:pt idx="69">
                    <c:v>Повітровід 100 мм</c:v>
                  </c:pt>
                  <c:pt idx="70">
                    <c:v>Повітровід 110 мм</c:v>
                  </c:pt>
                  <c:pt idx="71">
                    <c:v>Повітровід 90 мм</c:v>
                  </c:pt>
                  <c:pt idx="72">
                    <c:v>Подовжувач для інф.магістр.</c:v>
                  </c:pt>
                  <c:pt idx="73">
                    <c:v>Пропофол фл №5  </c:v>
                  </c:pt>
                  <c:pt idx="74">
                    <c:v>Протаміну сульфат  1000 Мо/мл по 10 мл</c:v>
                  </c:pt>
                  <c:pt idx="75">
                    <c:v>Розчин Рінгера 400 мл </c:v>
                  </c:pt>
                  <c:pt idx="76">
                    <c:v>Рукавички хір.лат.прип. 6,5</c:v>
                  </c:pt>
                  <c:pt idx="77">
                    <c:v>Рукавички хір.лат.прип. 7,0</c:v>
                  </c:pt>
                  <c:pt idx="78">
                    <c:v>Рукавички хір.лат.прип. 7,5</c:v>
                  </c:pt>
                  <c:pt idx="79">
                    <c:v>Рукавички хір.лат.прип. 8,5</c:v>
                  </c:pt>
                  <c:pt idx="80">
                    <c:v>Рукавички хір.лат.прип. стер. 7,0</c:v>
                  </c:pt>
                  <c:pt idx="81">
                    <c:v>Рукавички хір.стер. 7,0</c:v>
                  </c:pt>
                  <c:pt idx="82">
                    <c:v>Рукавички хір.лат.прип. стер. 8,0</c:v>
                  </c:pt>
                  <c:pt idx="83">
                    <c:v>Рукавички хір. стер. 8,0</c:v>
                  </c:pt>
                  <c:pt idx="84">
                    <c:v>Септил 70% по 100 мл</c:v>
                  </c:pt>
                  <c:pt idx="85">
                    <c:v>Солкосерил очний гель</c:v>
                  </c:pt>
                  <c:pt idx="86">
                    <c:v>Стерофундин №10</c:v>
                  </c:pt>
                  <c:pt idx="87">
                    <c:v>Фармадекс очні краплі</c:v>
                  </c:pt>
                  <c:pt idx="88">
                    <c:v>Фенефрін очні краплі</c:v>
                  </c:pt>
                  <c:pt idx="89">
                    <c:v>Фленокс шприць №10</c:v>
                  </c:pt>
                  <c:pt idx="90">
                    <c:v>Флоксал очні краплі</c:v>
                  </c:pt>
                  <c:pt idx="91">
                    <c:v>Фуосемід  амп №10</c:v>
                  </c:pt>
                  <c:pt idx="92">
                    <c:v>Халат хір. 120х158 см</c:v>
                  </c:pt>
                  <c:pt idx="93">
                    <c:v>Цефоктам 0,75г</c:v>
                  </c:pt>
                  <c:pt idx="94">
                    <c:v>Цефоктам фл </c:v>
                  </c:pt>
                  <c:pt idx="95">
                    <c:v>Шапочка-берет</c:v>
                  </c:pt>
                  <c:pt idx="96">
                    <c:v>Шприць 1,0  м</c:v>
                  </c:pt>
                  <c:pt idx="97">
                    <c:v>Шприць 2,0 мл </c:v>
                  </c:pt>
                  <c:pt idx="98">
                    <c:v>Шприць 5,0 мл</c:v>
                  </c:pt>
                  <c:pt idx="99">
                    <c:v>Шприць 20 мл</c:v>
                  </c:pt>
                  <c:pt idx="100">
                    <c:v>Шприць 10 мл</c:v>
                  </c:pt>
                  <c:pt idx="101">
                    <c:v>Мікрохвильова піч (знаходиться в експлуатації)</c:v>
                  </c:pt>
                  <c:pt idx="103">
                    <c:v>Комплект TOTALPLUS , 25 калібру</c:v>
                  </c:pt>
                  <c:pt idx="104">
                    <c:v>Наконечник з м'яким кінч 25G</c:v>
                  </c:pt>
                  <c:pt idx="105">
                    <c:v>Пеленка 60х60</c:v>
                  </c:pt>
                  <c:pt idx="106">
                    <c:v>Покриття операційне з адигезив.отв.</c:v>
                  </c:pt>
                  <c:pt idx="107">
                    <c:v>Провіск</c:v>
                  </c:pt>
                  <c:pt idx="108">
                    <c:v>Розчин BSS Plus 480мл</c:v>
                  </c:pt>
                  <c:pt idx="109">
                    <c:v>Система введення з клапоном 25 калібру</c:v>
                  </c:pt>
                  <c:pt idx="110">
                    <c:v>"Кератобіомплантат" №ДН1/910/18R</c:v>
                  </c:pt>
                  <c:pt idx="111">
                    <c:v>Комплект TOTALPLUS , 25 калібру</c:v>
                  </c:pt>
                  <c:pt idx="112">
                    <c:v>Висколон</c:v>
                  </c:pt>
                  <c:pt idx="113">
                    <c:v>наконечник з м'яким кінч 25G</c:v>
                  </c:pt>
                  <c:pt idx="114">
                    <c:v>Ніж 20 G</c:v>
                  </c:pt>
                  <c:pt idx="115">
                    <c:v>Ніж зігнутий для тонельного розрізу 2,2</c:v>
                  </c:pt>
                  <c:pt idx="116">
                    <c:v>Полигликолит 7/0</c:v>
                  </c:pt>
                  <c:pt idx="117">
                    <c:v>Ретрактор райдужної оболонки гнучкий</c:v>
                  </c:pt>
                  <c:pt idx="118">
                    <c:v>Розчин BSS Plus 480мл</c:v>
                  </c:pt>
                  <c:pt idx="119">
                    <c:v>Розчин BSS Plus 480мл</c:v>
                  </c:pt>
                  <c:pt idx="120">
                    <c:v>Система введення з клапоном 25 калібру</c:v>
                  </c:pt>
                  <c:pt idx="121">
                    <c:v>Алкаїн очні краплі 0,5% 15мл</c:v>
                  </c:pt>
                  <c:pt idx="122">
                    <c:v>Алкаїн очні краплі</c:v>
                  </c:pt>
                  <c:pt idx="123">
                    <c:v>Анальгін амп №10 </c:v>
                  </c:pt>
                  <c:pt idx="124">
                    <c:v>Атропин амп №10</c:v>
                  </c:pt>
                  <c:pt idx="125">
                    <c:v>Бахіли</c:v>
                  </c:pt>
                  <c:pt idx="126">
                    <c:v>Бетадин 10% фл 120 мл</c:v>
                  </c:pt>
                  <c:pt idx="127">
                    <c:v>Бупівакаїн №5</c:v>
                  </c:pt>
                  <c:pt idx="128">
                    <c:v>Ватні палички </c:v>
                  </c:pt>
                  <c:pt idx="129">
                    <c:v>Відісік очний гель</c:v>
                  </c:pt>
                  <c:pt idx="130">
                    <c:v>Гентпміцин амп №10</c:v>
                  </c:pt>
                  <c:pt idx="131">
                    <c:v>Гідрокартизону ацетат амп №10</c:v>
                  </c:pt>
                  <c:pt idx="132">
                    <c:v>Гліцерин 85 %</c:v>
                  </c:pt>
                  <c:pt idx="133">
                    <c:v>Гліцерин фл 25г</c:v>
                  </c:pt>
                  <c:pt idx="134">
                    <c:v>Глюкоза амп №10</c:v>
                  </c:pt>
                  <c:pt idx="135">
                    <c:v>Дексаметазон амп №10</c:v>
                  </c:pt>
                  <c:pt idx="136">
                    <c:v>Дексаметазон амп №5</c:v>
                  </c:pt>
                  <c:pt idx="137">
                    <c:v>Депос амп №5</c:v>
                  </c:pt>
                  <c:pt idx="138">
                    <c:v>Димедрл амп №10</c:v>
                  </c:pt>
                  <c:pt idx="139">
                    <c:v>Енап амп №5</c:v>
                  </c:pt>
                  <c:pt idx="140">
                    <c:v>Етамзілат амп №10</c:v>
                  </c:pt>
                  <c:pt idx="141">
                    <c:v>Зонд  шлунковий </c:v>
                  </c:pt>
                  <c:pt idx="142">
                    <c:v>канюля в/в G20</c:v>
                  </c:pt>
                  <c:pt idx="143">
                    <c:v>Кран трехходовой </c:v>
                  </c:pt>
                  <c:pt idx="144">
                    <c:v>Лейкопластирь 1,25*5</c:v>
                  </c:pt>
                  <c:pt idx="145">
                    <c:v>Лейкопластирь 3*500</c:v>
                  </c:pt>
                  <c:pt idx="146">
                    <c:v>Лідокаїн амп№10</c:v>
                  </c:pt>
                  <c:pt idx="147">
                    <c:v>Манніт-Новофарм</c:v>
                  </c:pt>
                  <c:pt idx="148">
                    <c:v>Манніт-Новофарм фл 200 мл</c:v>
                  </c:pt>
                  <c:pt idx="149">
                    <c:v>Маска</c:v>
                  </c:pt>
                  <c:pt idx="150">
                    <c:v>Маска захисна з-х слойна №100</c:v>
                  </c:pt>
                  <c:pt idx="151">
                    <c:v>Надглотковий повітровод р.1</c:v>
                  </c:pt>
                  <c:pt idx="152">
                    <c:v>Натрію хлорид амп №10</c:v>
                  </c:pt>
                  <c:pt idx="153">
                    <c:v>Натрію хлорид 0,9% 200мл</c:v>
                  </c:pt>
                  <c:pt idx="154">
                    <c:v>Ондасетрон  амп №10</c:v>
                  </c:pt>
                  <c:pt idx="155">
                    <c:v>Ондасетрон  амп №5</c:v>
                  </c:pt>
                  <c:pt idx="156">
                    <c:v>Офтавікс очні краплі</c:v>
                  </c:pt>
                  <c:pt idx="157">
                    <c:v>Офтимол очні краплі 5 мг/мл 10мл</c:v>
                  </c:pt>
                  <c:pt idx="158">
                    <c:v>Перекис водню розчин 3% по 100 мл</c:v>
                  </c:pt>
                  <c:pt idx="159">
                    <c:v>Перекис водню розчин 3% по 40 мл</c:v>
                  </c:pt>
                  <c:pt idx="160">
                    <c:v>Пілокарпін очні краплі</c:v>
                  </c:pt>
                  <c:pt idx="161">
                    <c:v>Пластир медичний 1х500</c:v>
                  </c:pt>
                  <c:pt idx="162">
                    <c:v>Пластир медичний 3х500</c:v>
                  </c:pt>
                  <c:pt idx="163">
                    <c:v>Пластир медичний</c:v>
                  </c:pt>
                  <c:pt idx="164">
                    <c:v>Пропофол-Ново фл №5</c:v>
                  </c:pt>
                  <c:pt idx="165">
                    <c:v>Розчин Рінгера 400 мл </c:v>
                  </c:pt>
                  <c:pt idx="166">
                    <c:v>Рукавички хірургічні латексні припудрені 8.0</c:v>
                  </c:pt>
                  <c:pt idx="167">
                    <c:v>Рукавички хірургічні стерильні  припудрені р.6.5</c:v>
                  </c:pt>
                  <c:pt idx="168">
                    <c:v>Рукавички хірургічні стерильні  припудрені р.7.0</c:v>
                  </c:pt>
                  <c:pt idx="169">
                    <c:v>Рукавички хірургічні стерильні  припудрені р.7.0</c:v>
                  </c:pt>
                  <c:pt idx="170">
                    <c:v>Рукавички хірургічні стерильні  припудрені р.7.0</c:v>
                  </c:pt>
                  <c:pt idx="171">
                    <c:v>Септил  100 мл</c:v>
                  </c:pt>
                  <c:pt idx="172">
                    <c:v>Септил  100 мл 70%</c:v>
                  </c:pt>
                  <c:pt idx="173">
                    <c:v>Солкосерил очний гель</c:v>
                  </c:pt>
                  <c:pt idx="174">
                    <c:v>Тракріум амп 10 мг/мл 2.5 мл №5</c:v>
                  </c:pt>
                  <c:pt idx="175">
                    <c:v>Феноферін очні краплі</c:v>
                  </c:pt>
                  <c:pt idx="176">
                    <c:v>Флоксал очна мазь</c:v>
                  </c:pt>
                  <c:pt idx="177">
                    <c:v>Фуросемід амп №10</c:v>
                  </c:pt>
                  <c:pt idx="178">
                    <c:v>Халат хірургічний</c:v>
                  </c:pt>
                  <c:pt idx="179">
                    <c:v>Цефоктам 0.75 г фл №5</c:v>
                  </c:pt>
                  <c:pt idx="180">
                    <c:v>Цефоктам фл №1</c:v>
                  </c:pt>
                  <c:pt idx="181">
                    <c:v>Цефоктам фл №5</c:v>
                  </c:pt>
                  <c:pt idx="182">
                    <c:v>Цикломед очні краплі</c:v>
                  </c:pt>
                  <c:pt idx="183">
                    <c:v>Ципрофрм очні краплі 0,3% 10 мл</c:v>
                  </c:pt>
                  <c:pt idx="184">
                    <c:v>Шапочка-берет</c:v>
                  </c:pt>
                  <c:pt idx="185">
                    <c:v>Шприць 1,0</c:v>
                  </c:pt>
                  <c:pt idx="186">
                    <c:v>Шприць 2,0 мл </c:v>
                  </c:pt>
                  <c:pt idx="187">
                    <c:v>Шприць 5,0 мл </c:v>
                  </c:pt>
                  <c:pt idx="188">
                    <c:v>Шприць 20,0</c:v>
                  </c:pt>
                  <c:pt idx="189">
                    <c:v>Шприць 10,0</c:v>
                  </c:pt>
                  <c:pt idx="196">
                    <c:v>Х</c:v>
                  </c:pt>
                </c:lvl>
                <c:lvl>
                  <c:pt idx="0">
                    <c:v>Сума, тис.грн.</c:v>
                  </c:pt>
                  <c:pt idx="196">
                    <c:v>0.0</c:v>
                  </c:pt>
                </c:lvl>
                <c:lvl>
                  <c:pt idx="0">
                    <c:v>Навпрямки використання у грошовій формі (стаття витрат)</c:v>
                  </c:pt>
                  <c:pt idx="196">
                    <c:v>Х</c:v>
                  </c:pt>
                </c:lvl>
                <c:lvl>
                  <c:pt idx="1">
                    <c:v>10.390</c:v>
                  </c:pt>
                  <c:pt idx="2">
                    <c:v>0.280</c:v>
                  </c:pt>
                  <c:pt idx="3">
                    <c:v>4.350</c:v>
                  </c:pt>
                  <c:pt idx="4">
                    <c:v>4.154</c:v>
                  </c:pt>
                  <c:pt idx="5">
                    <c:v>10.899</c:v>
                  </c:pt>
                  <c:pt idx="6">
                    <c:v>0.300</c:v>
                  </c:pt>
                  <c:pt idx="7">
                    <c:v>0.270</c:v>
                  </c:pt>
                  <c:pt idx="8">
                    <c:v>0.630</c:v>
                  </c:pt>
                  <c:pt idx="9">
                    <c:v>1.140</c:v>
                  </c:pt>
                  <c:pt idx="10">
                    <c:v>1.165</c:v>
                  </c:pt>
                  <c:pt idx="11">
                    <c:v>2.454</c:v>
                  </c:pt>
                  <c:pt idx="12">
                    <c:v>0.190</c:v>
                  </c:pt>
                  <c:pt idx="13">
                    <c:v>0.190</c:v>
                  </c:pt>
                  <c:pt idx="14">
                    <c:v>2.200</c:v>
                  </c:pt>
                  <c:pt idx="15">
                    <c:v>2.000</c:v>
                  </c:pt>
                  <c:pt idx="16">
                    <c:v>0.695</c:v>
                  </c:pt>
                  <c:pt idx="17">
                    <c:v>0.600</c:v>
                  </c:pt>
                  <c:pt idx="18">
                    <c:v>0.280</c:v>
                  </c:pt>
                  <c:pt idx="19">
                    <c:v>1.462</c:v>
                  </c:pt>
                  <c:pt idx="20">
                    <c:v>8.308</c:v>
                  </c:pt>
                  <c:pt idx="21">
                    <c:v>20.780</c:v>
                  </c:pt>
                  <c:pt idx="22">
                    <c:v>0.600</c:v>
                  </c:pt>
                  <c:pt idx="23">
                    <c:v>0.250</c:v>
                  </c:pt>
                  <c:pt idx="24">
                    <c:v>0.555</c:v>
                  </c:pt>
                  <c:pt idx="25">
                    <c:v>0.555</c:v>
                  </c:pt>
                  <c:pt idx="26">
                    <c:v>1.136</c:v>
                  </c:pt>
                  <c:pt idx="27">
                    <c:v>1.280</c:v>
                  </c:pt>
                  <c:pt idx="28">
                    <c:v>1.140</c:v>
                  </c:pt>
                  <c:pt idx="29">
                    <c:v>2.750</c:v>
                  </c:pt>
                  <c:pt idx="30">
                    <c:v>2.330</c:v>
                  </c:pt>
                  <c:pt idx="31">
                    <c:v>26.2995</c:v>
                  </c:pt>
                  <c:pt idx="32">
                    <c:v>8.724</c:v>
                  </c:pt>
                  <c:pt idx="33">
                    <c:v>0.002</c:v>
                  </c:pt>
                  <c:pt idx="34">
                    <c:v>0.037</c:v>
                  </c:pt>
                  <c:pt idx="35">
                    <c:v>0.019</c:v>
                  </c:pt>
                  <c:pt idx="36">
                    <c:v>0.052</c:v>
                  </c:pt>
                  <c:pt idx="37">
                    <c:v>0.755</c:v>
                  </c:pt>
                  <c:pt idx="38">
                    <c:v>0.829</c:v>
                  </c:pt>
                  <c:pt idx="39">
                    <c:v>3.187</c:v>
                  </c:pt>
                  <c:pt idx="40">
                    <c:v>0.514</c:v>
                  </c:pt>
                  <c:pt idx="41">
                    <c:v>1.317</c:v>
                  </c:pt>
                  <c:pt idx="42">
                    <c:v>0.890</c:v>
                  </c:pt>
                  <c:pt idx="43">
                    <c:v>0.193</c:v>
                  </c:pt>
                  <c:pt idx="44">
                    <c:v>1.171</c:v>
                  </c:pt>
                  <c:pt idx="45">
                    <c:v>0.028</c:v>
                  </c:pt>
                  <c:pt idx="46">
                    <c:v>0.019</c:v>
                  </c:pt>
                  <c:pt idx="47">
                    <c:v>0.347</c:v>
                  </c:pt>
                  <c:pt idx="48">
                    <c:v>0.552</c:v>
                  </c:pt>
                  <c:pt idx="49">
                    <c:v>0.355</c:v>
                  </c:pt>
                  <c:pt idx="50">
                    <c:v>0.210</c:v>
                  </c:pt>
                  <c:pt idx="51">
                    <c:v>0.201</c:v>
                  </c:pt>
                  <c:pt idx="52">
                    <c:v>1.284</c:v>
                  </c:pt>
                  <c:pt idx="53">
                    <c:v>0.805</c:v>
                  </c:pt>
                  <c:pt idx="54">
                    <c:v>0.445</c:v>
                  </c:pt>
                  <c:pt idx="55">
                    <c:v>0.247</c:v>
                  </c:pt>
                  <c:pt idx="56">
                    <c:v>0.325</c:v>
                  </c:pt>
                  <c:pt idx="57">
                    <c:v>4.237</c:v>
                  </c:pt>
                  <c:pt idx="58">
                    <c:v>0.249</c:v>
                  </c:pt>
                  <c:pt idx="59">
                    <c:v>0.017</c:v>
                  </c:pt>
                  <c:pt idx="60">
                    <c:v>0.274</c:v>
                  </c:pt>
                  <c:pt idx="61">
                    <c:v>1.589</c:v>
                  </c:pt>
                  <c:pt idx="62">
                    <c:v>3.860</c:v>
                  </c:pt>
                  <c:pt idx="63">
                    <c:v>0.205</c:v>
                  </c:pt>
                  <c:pt idx="64">
                    <c:v>0.481</c:v>
                  </c:pt>
                  <c:pt idx="65">
                    <c:v>0.195</c:v>
                  </c:pt>
                  <c:pt idx="66">
                    <c:v>0.272</c:v>
                  </c:pt>
                  <c:pt idx="67">
                    <c:v>0.441</c:v>
                  </c:pt>
                  <c:pt idx="68">
                    <c:v>0.832</c:v>
                  </c:pt>
                  <c:pt idx="69">
                    <c:v>0.023</c:v>
                  </c:pt>
                  <c:pt idx="70">
                    <c:v>0.023</c:v>
                  </c:pt>
                  <c:pt idx="71">
                    <c:v>0.023</c:v>
                  </c:pt>
                  <c:pt idx="72">
                    <c:v>0.692</c:v>
                  </c:pt>
                  <c:pt idx="73">
                    <c:v>15.636</c:v>
                  </c:pt>
                  <c:pt idx="74">
                    <c:v>0.119</c:v>
                  </c:pt>
                  <c:pt idx="75">
                    <c:v>3.884</c:v>
                  </c:pt>
                  <c:pt idx="76">
                    <c:v>4.298</c:v>
                  </c:pt>
                  <c:pt idx="77">
                    <c:v>3.377</c:v>
                  </c:pt>
                  <c:pt idx="78">
                    <c:v>2.763</c:v>
                  </c:pt>
                  <c:pt idx="79">
                    <c:v>1.228</c:v>
                  </c:pt>
                  <c:pt idx="80">
                    <c:v>0.921</c:v>
                  </c:pt>
                  <c:pt idx="81">
                    <c:v>1.775</c:v>
                  </c:pt>
                  <c:pt idx="82">
                    <c:v>2.763</c:v>
                  </c:pt>
                  <c:pt idx="83">
                    <c:v>1.775</c:v>
                  </c:pt>
                  <c:pt idx="84">
                    <c:v>2.979</c:v>
                  </c:pt>
                  <c:pt idx="85">
                    <c:v>4.377</c:v>
                  </c:pt>
                  <c:pt idx="86">
                    <c:v>0.589</c:v>
                  </c:pt>
                  <c:pt idx="87">
                    <c:v>0.026</c:v>
                  </c:pt>
                  <c:pt idx="88">
                    <c:v>1.923</c:v>
                  </c:pt>
                  <c:pt idx="89">
                    <c:v>0.951</c:v>
                  </c:pt>
                  <c:pt idx="90">
                    <c:v>13.176</c:v>
                  </c:pt>
                  <c:pt idx="91">
                    <c:v>0.192</c:v>
                  </c:pt>
                  <c:pt idx="92">
                    <c:v>0.365</c:v>
                  </c:pt>
                  <c:pt idx="93">
                    <c:v>0.637</c:v>
                  </c:pt>
                  <c:pt idx="94">
                    <c:v>0.956</c:v>
                  </c:pt>
                  <c:pt idx="95">
                    <c:v>0.535</c:v>
                  </c:pt>
                  <c:pt idx="96">
                    <c:v>1.537</c:v>
                  </c:pt>
                  <c:pt idx="97">
                    <c:v>0.679</c:v>
                  </c:pt>
                  <c:pt idx="98">
                    <c:v>0.602</c:v>
                  </c:pt>
                  <c:pt idx="99">
                    <c:v>1.345</c:v>
                  </c:pt>
                  <c:pt idx="100">
                    <c:v>0.462</c:v>
                  </c:pt>
                  <c:pt idx="101">
                    <c:v>1.700</c:v>
                  </c:pt>
                  <c:pt idx="102">
                    <c:v>14.691</c:v>
                  </c:pt>
                  <c:pt idx="103">
                    <c:v>13.105</c:v>
                  </c:pt>
                  <c:pt idx="104">
                    <c:v>1.500</c:v>
                  </c:pt>
                  <c:pt idx="105">
                    <c:v>0.010</c:v>
                  </c:pt>
                  <c:pt idx="106">
                    <c:v>0.055</c:v>
                  </c:pt>
                  <c:pt idx="107">
                    <c:v>0.960</c:v>
                  </c:pt>
                  <c:pt idx="108">
                    <c:v>0.960</c:v>
                  </c:pt>
                  <c:pt idx="109">
                    <c:v>1.750</c:v>
                  </c:pt>
                  <c:pt idx="110">
                    <c:v>26.300</c:v>
                  </c:pt>
                  <c:pt idx="111">
                    <c:v>21.800</c:v>
                  </c:pt>
                  <c:pt idx="112">
                    <c:v>0.420</c:v>
                  </c:pt>
                  <c:pt idx="113">
                    <c:v>0.300</c:v>
                  </c:pt>
                  <c:pt idx="114">
                    <c:v>0.580</c:v>
                  </c:pt>
                  <c:pt idx="115">
                    <c:v>0.290</c:v>
                  </c:pt>
                  <c:pt idx="116">
                    <c:v>0.570</c:v>
                  </c:pt>
                  <c:pt idx="117">
                    <c:v>1.300</c:v>
                  </c:pt>
                  <c:pt idx="118">
                    <c:v>0.508</c:v>
                  </c:pt>
                  <c:pt idx="119">
                    <c:v>0.570</c:v>
                  </c:pt>
                  <c:pt idx="120">
                    <c:v>2.328</c:v>
                  </c:pt>
                  <c:pt idx="121">
                    <c:v>7.070</c:v>
                  </c:pt>
                  <c:pt idx="122">
                    <c:v>9.889</c:v>
                  </c:pt>
                  <c:pt idx="123">
                    <c:v>0.139</c:v>
                  </c:pt>
                  <c:pt idx="124">
                    <c:v>0.019</c:v>
                  </c:pt>
                  <c:pt idx="125">
                    <c:v>0.100</c:v>
                  </c:pt>
                  <c:pt idx="126">
                    <c:v>0.120</c:v>
                  </c:pt>
                  <c:pt idx="127">
                    <c:v>2.505</c:v>
                  </c:pt>
                  <c:pt idx="128">
                    <c:v>1.028</c:v>
                  </c:pt>
                  <c:pt idx="129">
                    <c:v>2.765</c:v>
                  </c:pt>
                  <c:pt idx="130">
                    <c:v>0.041</c:v>
                  </c:pt>
                  <c:pt idx="131">
                    <c:v>1.036</c:v>
                  </c:pt>
                  <c:pt idx="132">
                    <c:v>0.067</c:v>
                  </c:pt>
                  <c:pt idx="133">
                    <c:v>0.212</c:v>
                  </c:pt>
                  <c:pt idx="134">
                    <c:v>0.092</c:v>
                  </c:pt>
                  <c:pt idx="135">
                    <c:v>1.002</c:v>
                  </c:pt>
                  <c:pt idx="136">
                    <c:v>0.869</c:v>
                  </c:pt>
                  <c:pt idx="137">
                    <c:v>15.589</c:v>
                  </c:pt>
                  <c:pt idx="138">
                    <c:v>0.059</c:v>
                  </c:pt>
                  <c:pt idx="139">
                    <c:v>0.695</c:v>
                  </c:pt>
                  <c:pt idx="140">
                    <c:v>0.184</c:v>
                  </c:pt>
                  <c:pt idx="141">
                    <c:v>0.019</c:v>
                  </c:pt>
                  <c:pt idx="142">
                    <c:v>0.885</c:v>
                  </c:pt>
                  <c:pt idx="143">
                    <c:v>0.110</c:v>
                  </c:pt>
                  <c:pt idx="144">
                    <c:v>0.542</c:v>
                  </c:pt>
                  <c:pt idx="145">
                    <c:v>0.323</c:v>
                  </c:pt>
                  <c:pt idx="146">
                    <c:v>1.312</c:v>
                  </c:pt>
                  <c:pt idx="147">
                    <c:v>0.212</c:v>
                  </c:pt>
                  <c:pt idx="148">
                    <c:v>0.249</c:v>
                  </c:pt>
                  <c:pt idx="149">
                    <c:v>0.756</c:v>
                  </c:pt>
                  <c:pt idx="150">
                    <c:v>0.218</c:v>
                  </c:pt>
                  <c:pt idx="151">
                    <c:v>2.346</c:v>
                  </c:pt>
                  <c:pt idx="152">
                    <c:v>0.057</c:v>
                  </c:pt>
                  <c:pt idx="153">
                    <c:v>5.126</c:v>
                  </c:pt>
                  <c:pt idx="154">
                    <c:v>0.845</c:v>
                  </c:pt>
                  <c:pt idx="155">
                    <c:v>0.060</c:v>
                  </c:pt>
                  <c:pt idx="156">
                    <c:v>13.697</c:v>
                  </c:pt>
                  <c:pt idx="157">
                    <c:v>0.459</c:v>
                  </c:pt>
                  <c:pt idx="158">
                    <c:v>0.231</c:v>
                  </c:pt>
                  <c:pt idx="159">
                    <c:v>0.053</c:v>
                  </c:pt>
                  <c:pt idx="160">
                    <c:v>0.201</c:v>
                  </c:pt>
                  <c:pt idx="161">
                    <c:v>0.219</c:v>
                  </c:pt>
                  <c:pt idx="162">
                    <c:v>1.681</c:v>
                  </c:pt>
                  <c:pt idx="163">
                    <c:v>0.206</c:v>
                  </c:pt>
                  <c:pt idx="164">
                    <c:v>10.099</c:v>
                  </c:pt>
                  <c:pt idx="165">
                    <c:v>11.031</c:v>
                  </c:pt>
                  <c:pt idx="166">
                    <c:v>0.730</c:v>
                  </c:pt>
                  <c:pt idx="167">
                    <c:v>2.404</c:v>
                  </c:pt>
                  <c:pt idx="168">
                    <c:v>4.087</c:v>
                  </c:pt>
                  <c:pt idx="169">
                    <c:v>4.327</c:v>
                  </c:pt>
                  <c:pt idx="170">
                    <c:v>3.306</c:v>
                  </c:pt>
                  <c:pt idx="171">
                    <c:v>2.321</c:v>
                  </c:pt>
                  <c:pt idx="172">
                    <c:v>1.735</c:v>
                  </c:pt>
                  <c:pt idx="173">
                    <c:v>2.340</c:v>
                  </c:pt>
                  <c:pt idx="174">
                    <c:v>1.835</c:v>
                  </c:pt>
                  <c:pt idx="175">
                    <c:v>0.490</c:v>
                  </c:pt>
                  <c:pt idx="176">
                    <c:v>6.763</c:v>
                  </c:pt>
                  <c:pt idx="177">
                    <c:v>0.192</c:v>
                  </c:pt>
                  <c:pt idx="178">
                    <c:v>0.475</c:v>
                  </c:pt>
                  <c:pt idx="179">
                    <c:v>0.682</c:v>
                  </c:pt>
                  <c:pt idx="180">
                    <c:v>2.071</c:v>
                  </c:pt>
                  <c:pt idx="181">
                    <c:v>0.682</c:v>
                  </c:pt>
                  <c:pt idx="182">
                    <c:v>2.649</c:v>
                  </c:pt>
                  <c:pt idx="183">
                    <c:v>0.221</c:v>
                  </c:pt>
                  <c:pt idx="184">
                    <c:v>0.993</c:v>
                  </c:pt>
                  <c:pt idx="185">
                    <c:v>1.945</c:v>
                  </c:pt>
                  <c:pt idx="186">
                    <c:v>1.894</c:v>
                  </c:pt>
                  <c:pt idx="187">
                    <c:v>1.778</c:v>
                  </c:pt>
                  <c:pt idx="188">
                    <c:v>1.414</c:v>
                  </c:pt>
                  <c:pt idx="189">
                    <c:v>0.151</c:v>
                  </c:pt>
                  <c:pt idx="192">
                    <c:v>0.000</c:v>
                  </c:pt>
                  <c:pt idx="194">
                    <c:v>0.000</c:v>
                  </c:pt>
                  <c:pt idx="196">
                    <c:v>445.022</c:v>
                  </c:pt>
                </c:lvl>
                <c:lvl>
                  <c:pt idx="0">
                    <c:v>Перелік товарів і послуг в натуральній формі</c:v>
                  </c:pt>
                  <c:pt idx="1">
                    <c:v>Комплект TOTALPLUS комбінований-7500 CPM , 25 калібру з клапанами </c:v>
                  </c:pt>
                  <c:pt idx="2">
                    <c:v>Висколон</c:v>
                  </c:pt>
                  <c:pt idx="3">
                    <c:v>Вкладиш -імплант орбітальний політе-трфторутіленовий</c:v>
                  </c:pt>
                  <c:pt idx="4">
                    <c:v>Зонд лазерний</c:v>
                  </c:pt>
                  <c:pt idx="5">
                    <c:v>Комбінований комплект COMBINEPAC</c:v>
                  </c:pt>
                  <c:pt idx="6">
                    <c:v>Наконечник з м'яким кінч 25G</c:v>
                  </c:pt>
                  <c:pt idx="7">
                    <c:v>Ніж зігнутий для тонельного розрізу  20G</c:v>
                  </c:pt>
                  <c:pt idx="8">
                    <c:v>Ніж   20G</c:v>
                  </c:pt>
                  <c:pt idx="9">
                    <c:v>Розчин для іригації ока BBS PLUS</c:v>
                  </c:pt>
                  <c:pt idx="10">
                    <c:v>Троакар 25 G</c:v>
                  </c:pt>
                  <c:pt idx="11">
                    <c:v>Тутопласт </c:v>
                  </c:pt>
                  <c:pt idx="12">
                    <c:v>Шовк 4/0</c:v>
                  </c:pt>
                  <c:pt idx="13">
                    <c:v>Шовк 5/0</c:v>
                  </c:pt>
                  <c:pt idx="14">
                    <c:v>AKREOS Асферична інтроокулярна лінза</c:v>
                  </c:pt>
                  <c:pt idx="15">
                    <c:v>AKREOS Асферична інтроокулярна лінза</c:v>
                  </c:pt>
                  <c:pt idx="16">
                    <c:v>Комплект для бімануальних маніпул UltraFlow </c:v>
                  </c:pt>
                  <c:pt idx="17">
                    <c:v>Viscojekt (віскот+ картридж)</c:v>
                  </c:pt>
                  <c:pt idx="18">
                    <c:v>Висколон</c:v>
                  </c:pt>
                  <c:pt idx="19">
                    <c:v>Вискот</c:v>
                  </c:pt>
                  <c:pt idx="20">
                    <c:v>Зонд лазерний 25G</c:v>
                  </c:pt>
                  <c:pt idx="21">
                    <c:v>Комплект TOTALPLUS комбінований-7500 CPM , 25 калібру з клапанами </c:v>
                  </c:pt>
                  <c:pt idx="22">
                    <c:v>Наконечний з м'яким кінчиком 25G</c:v>
                  </c:pt>
                  <c:pt idx="23">
                    <c:v>Нейлон моно  10/0</c:v>
                  </c:pt>
                  <c:pt idx="24">
                    <c:v>Ніж зігнутий для тонельного розрізу  2,2</c:v>
                  </c:pt>
                  <c:pt idx="25">
                    <c:v>Ніж зігнутий для тонельного розрізу  20G</c:v>
                  </c:pt>
                  <c:pt idx="26">
                    <c:v>Провіск</c:v>
                  </c:pt>
                  <c:pt idx="27">
                    <c:v>Ретрактор райдужної оболонки гнучкий</c:v>
                  </c:pt>
                  <c:pt idx="28">
                    <c:v>Розчин для іригації ока BBS PLUS</c:v>
                  </c:pt>
                  <c:pt idx="29">
                    <c:v>Силіконове масло</c:v>
                  </c:pt>
                  <c:pt idx="30">
                    <c:v>Система введення з клапоном 25 калібру</c:v>
                  </c:pt>
                  <c:pt idx="31">
                    <c:v>"Кератобіом-плантат" №ДН1/357/18R</c:v>
                  </c:pt>
                  <c:pt idx="32">
                    <c:v>Алкаїн очні краплі</c:v>
                  </c:pt>
                  <c:pt idx="33">
                    <c:v>Аміаку розчин</c:v>
                  </c:pt>
                  <c:pt idx="34">
                    <c:v>Анальгін</c:v>
                  </c:pt>
                  <c:pt idx="35">
                    <c:v>Атропін амп №10</c:v>
                  </c:pt>
                  <c:pt idx="36">
                    <c:v>Бахіли №50</c:v>
                  </c:pt>
                  <c:pt idx="37">
                    <c:v>Бетадін фл 120 мл</c:v>
                  </c:pt>
                  <c:pt idx="38">
                    <c:v>Бинт н/ст 7х14</c:v>
                  </c:pt>
                  <c:pt idx="39">
                    <c:v>Бупівакаїн 5 мг/мл</c:v>
                  </c:pt>
                  <c:pt idx="40">
                    <c:v>Ватні палички </c:v>
                  </c:pt>
                  <c:pt idx="41">
                    <c:v>Відісік очний гель</c:v>
                  </c:pt>
                  <c:pt idx="42">
                    <c:v>Гепарин-Індіар</c:v>
                  </c:pt>
                  <c:pt idx="43">
                    <c:v>Глюкоза амп №10</c:v>
                  </c:pt>
                  <c:pt idx="44">
                    <c:v>Дексаметазон №10 </c:v>
                  </c:pt>
                  <c:pt idx="45">
                    <c:v>Дексаметазон очні краплі</c:v>
                  </c:pt>
                  <c:pt idx="46">
                    <c:v>Димедрол амп №10</c:v>
                  </c:pt>
                  <c:pt idx="47">
                    <c:v>Енап амп №5</c:v>
                  </c:pt>
                  <c:pt idx="48">
                    <c:v>Етамзілат амп №10</c:v>
                  </c:pt>
                  <c:pt idx="49">
                    <c:v>Канюля в/в G16</c:v>
                  </c:pt>
                  <c:pt idx="50">
                    <c:v>Кордарон амп</c:v>
                  </c:pt>
                  <c:pt idx="51">
                    <c:v>Лазикс Нео №10</c:v>
                  </c:pt>
                  <c:pt idx="52">
                    <c:v>Ларингеальна  маска р.1</c:v>
                  </c:pt>
                  <c:pt idx="53">
                    <c:v>Лідокаїн амп№10</c:v>
                  </c:pt>
                  <c:pt idx="54">
                    <c:v>Маска</c:v>
                  </c:pt>
                  <c:pt idx="55">
                    <c:v>Метранідазол 100 мл</c:v>
                  </c:pt>
                  <c:pt idx="56">
                    <c:v>Натрія гідрокарб. 200 мл</c:v>
                  </c:pt>
                  <c:pt idx="57">
                    <c:v>Натрія хлорид 0,9% 200 мл</c:v>
                  </c:pt>
                  <c:pt idx="58">
                    <c:v>Натрія хлорид амп №10</c:v>
                  </c:pt>
                  <c:pt idx="59">
                    <c:v>Но-х-ша амп №5</c:v>
                  </c:pt>
                  <c:pt idx="60">
                    <c:v>Но-шпа амп №25</c:v>
                  </c:pt>
                  <c:pt idx="61">
                    <c:v>Ондасетрон амп</c:v>
                  </c:pt>
                  <c:pt idx="62">
                    <c:v>Офтавікс очні краплі</c:v>
                  </c:pt>
                  <c:pt idx="63">
                    <c:v>Офтимол очні краплі</c:v>
                  </c:pt>
                  <c:pt idx="64">
                    <c:v>Палички ватні №200</c:v>
                  </c:pt>
                  <c:pt idx="65">
                    <c:v>Пелюшки сечопоглин. №30</c:v>
                  </c:pt>
                  <c:pt idx="66">
                    <c:v>Пелюшка 40х60см  №30</c:v>
                  </c:pt>
                  <c:pt idx="67">
                    <c:v>Пилокарпин очні краплі</c:v>
                  </c:pt>
                  <c:pt idx="68">
                    <c:v>Пластир медичний </c:v>
                  </c:pt>
                  <c:pt idx="69">
                    <c:v>Повітровід 100 мм</c:v>
                  </c:pt>
                  <c:pt idx="70">
                    <c:v>Повітровід 110 мм</c:v>
                  </c:pt>
                  <c:pt idx="71">
                    <c:v>Повітровід 90 мм</c:v>
                  </c:pt>
                  <c:pt idx="72">
                    <c:v>Подовжувач для інф.магіст.</c:v>
                  </c:pt>
                  <c:pt idx="73">
                    <c:v>Пропофол фл №5  </c:v>
                  </c:pt>
                  <c:pt idx="74">
                    <c:v>Протаміну сульфат  1000 Мо/мл по 10 мл</c:v>
                  </c:pt>
                  <c:pt idx="75">
                    <c:v>Розчин Рінгера 400 мл </c:v>
                  </c:pt>
                  <c:pt idx="76">
                    <c:v>Рукавички хір.лат.прип. 6,5</c:v>
                  </c:pt>
                  <c:pt idx="77">
                    <c:v>Рукавички хір.лат.прип. 7,0</c:v>
                  </c:pt>
                  <c:pt idx="78">
                    <c:v>Рукавички хір.лат.прип. 7,5</c:v>
                  </c:pt>
                  <c:pt idx="79">
                    <c:v>Рукавички хір.лат.прип. 8,5</c:v>
                  </c:pt>
                  <c:pt idx="80">
                    <c:v>Рукавички хір.лат.прип. стер. 7,0</c:v>
                  </c:pt>
                  <c:pt idx="81">
                    <c:v>Рукавички хір.стер. 7,0</c:v>
                  </c:pt>
                  <c:pt idx="82">
                    <c:v>Рукавички хір.лат.прип. стер. 8,0</c:v>
                  </c:pt>
                  <c:pt idx="83">
                    <c:v>Рукавички хір. стер. 8,0</c:v>
                  </c:pt>
                  <c:pt idx="84">
                    <c:v>Септил 70% по 100 мл</c:v>
                  </c:pt>
                  <c:pt idx="85">
                    <c:v>Солкосерил очний гель</c:v>
                  </c:pt>
                  <c:pt idx="86">
                    <c:v>Стерофундин №10</c:v>
                  </c:pt>
                  <c:pt idx="87">
                    <c:v>Фармадекс очні краплі</c:v>
                  </c:pt>
                  <c:pt idx="88">
                    <c:v>Фенефрін очні краплі</c:v>
                  </c:pt>
                  <c:pt idx="89">
                    <c:v>Фленокс шприць №10</c:v>
                  </c:pt>
                  <c:pt idx="90">
                    <c:v>Флоксал очні краплі</c:v>
                  </c:pt>
                  <c:pt idx="91">
                    <c:v>Фуосемід  амп №10</c:v>
                  </c:pt>
                  <c:pt idx="92">
                    <c:v>Халат хір. 120х158 см</c:v>
                  </c:pt>
                  <c:pt idx="93">
                    <c:v>Цефоктам 0,75г</c:v>
                  </c:pt>
                  <c:pt idx="94">
                    <c:v>Цефоктам фл </c:v>
                  </c:pt>
                  <c:pt idx="95">
                    <c:v>Шапочка-берет</c:v>
                  </c:pt>
                  <c:pt idx="96">
                    <c:v>Шприць 1,0  м</c:v>
                  </c:pt>
                  <c:pt idx="97">
                    <c:v>Шприць 2,0 мл </c:v>
                  </c:pt>
                  <c:pt idx="98">
                    <c:v>Шприць 5,0 мл</c:v>
                  </c:pt>
                  <c:pt idx="99">
                    <c:v>Шприць 20 мл</c:v>
                  </c:pt>
                  <c:pt idx="100">
                    <c:v>Шприць 10 мл</c:v>
                  </c:pt>
                  <c:pt idx="101">
                    <c:v>Мікрохвильова піч </c:v>
                  </c:pt>
                  <c:pt idx="103">
                    <c:v>Комплект TOTALPLUS , 25 калібру</c:v>
                  </c:pt>
                  <c:pt idx="104">
                    <c:v>Наконечник з м'яким кінч 25G</c:v>
                  </c:pt>
                  <c:pt idx="105">
                    <c:v>Пеленка 60х60</c:v>
                  </c:pt>
                  <c:pt idx="106">
                    <c:v>Покриття операційне з адигезив.отв.</c:v>
                  </c:pt>
                  <c:pt idx="107">
                    <c:v>Провіск</c:v>
                  </c:pt>
                  <c:pt idx="108">
                    <c:v>Розчин BSS Plus 480мл</c:v>
                  </c:pt>
                  <c:pt idx="109">
                    <c:v>Система введення з клапоном 25 калібру</c:v>
                  </c:pt>
                  <c:pt idx="110">
                    <c:v>"Кератобіомплантат" №ДН1/910/18R</c:v>
                  </c:pt>
                  <c:pt idx="111">
                    <c:v>Комплект TOTALPLUS , 25 калібру</c:v>
                  </c:pt>
                  <c:pt idx="112">
                    <c:v>Висколон</c:v>
                  </c:pt>
                  <c:pt idx="113">
                    <c:v>наконечник з м'яким кінч 25G</c:v>
                  </c:pt>
                  <c:pt idx="114">
                    <c:v>Ніж 20 G</c:v>
                  </c:pt>
                  <c:pt idx="115">
                    <c:v>Ніж зігнутий для тонельного розрізу 2,2</c:v>
                  </c:pt>
                  <c:pt idx="116">
                    <c:v>Полигликолит 7/0</c:v>
                  </c:pt>
                  <c:pt idx="117">
                    <c:v>Ретрактор райдужної оболонки гнучкий</c:v>
                  </c:pt>
                  <c:pt idx="118">
                    <c:v>Розчин BSS Plus 480мл</c:v>
                  </c:pt>
                  <c:pt idx="119">
                    <c:v>Розчин BSS Plus 480мл</c:v>
                  </c:pt>
                  <c:pt idx="120">
                    <c:v>Система введення з клапоном 25 калібру</c:v>
                  </c:pt>
                  <c:pt idx="121">
                    <c:v>Алкаїн очні краплі 0,5% 15мл</c:v>
                  </c:pt>
                  <c:pt idx="122">
                    <c:v>Алкаїн очні краплі</c:v>
                  </c:pt>
                  <c:pt idx="123">
                    <c:v>Анальгін амп №10 </c:v>
                  </c:pt>
                  <c:pt idx="124">
                    <c:v>Атропин амп №10</c:v>
                  </c:pt>
                  <c:pt idx="125">
                    <c:v>Бахіли</c:v>
                  </c:pt>
                  <c:pt idx="126">
                    <c:v>Бетадин 10% фл 120 мл</c:v>
                  </c:pt>
                  <c:pt idx="127">
                    <c:v>Бупівакаїн №5</c:v>
                  </c:pt>
                  <c:pt idx="128">
                    <c:v>Ватні палички </c:v>
                  </c:pt>
                  <c:pt idx="129">
                    <c:v>Відісік очний гель</c:v>
                  </c:pt>
                  <c:pt idx="130">
                    <c:v>Гентпміцин амп №10</c:v>
                  </c:pt>
                  <c:pt idx="131">
                    <c:v>Гідрокартизону ацетат амп №10</c:v>
                  </c:pt>
                  <c:pt idx="132">
                    <c:v>Гліцерин 85 %</c:v>
                  </c:pt>
                  <c:pt idx="133">
                    <c:v>Гліцерин фл 25г</c:v>
                  </c:pt>
                  <c:pt idx="134">
                    <c:v>Глюкоза амп №10</c:v>
                  </c:pt>
                  <c:pt idx="135">
                    <c:v>Дексаметазон амп №10</c:v>
                  </c:pt>
                  <c:pt idx="136">
                    <c:v>Дексаметазон амп №5</c:v>
                  </c:pt>
                  <c:pt idx="137">
                    <c:v>Депос амп №5</c:v>
                  </c:pt>
                  <c:pt idx="138">
                    <c:v>Димедрол амп №10</c:v>
                  </c:pt>
                  <c:pt idx="139">
                    <c:v>Енап амп №5</c:v>
                  </c:pt>
                  <c:pt idx="140">
                    <c:v>Етамзілат амп №10</c:v>
                  </c:pt>
                  <c:pt idx="141">
                    <c:v>Зонд  шлунковий </c:v>
                  </c:pt>
                  <c:pt idx="142">
                    <c:v>канюля в/в G20</c:v>
                  </c:pt>
                  <c:pt idx="143">
                    <c:v>Кран трехходовой </c:v>
                  </c:pt>
                  <c:pt idx="144">
                    <c:v>Лейкопластирь 1,25*5</c:v>
                  </c:pt>
                  <c:pt idx="145">
                    <c:v>Лейкопластирь 3*500</c:v>
                  </c:pt>
                  <c:pt idx="146">
                    <c:v>Лідокаїн амп№10</c:v>
                  </c:pt>
                  <c:pt idx="147">
                    <c:v>Манніт-Новофарм</c:v>
                  </c:pt>
                  <c:pt idx="148">
                    <c:v>Манніт-Новофарм фл 200 мл</c:v>
                  </c:pt>
                  <c:pt idx="149">
                    <c:v>Маска</c:v>
                  </c:pt>
                  <c:pt idx="150">
                    <c:v>Маска захисна з-х слойна №100</c:v>
                  </c:pt>
                  <c:pt idx="151">
                    <c:v>Надглотковий повітровод р.1</c:v>
                  </c:pt>
                  <c:pt idx="152">
                    <c:v>Натрію хлорид амп №10</c:v>
                  </c:pt>
                  <c:pt idx="153">
                    <c:v>Натрію хлорид 0,9% 200мл</c:v>
                  </c:pt>
                  <c:pt idx="154">
                    <c:v>Ондасетрон  амп №10</c:v>
                  </c:pt>
                  <c:pt idx="155">
                    <c:v>Ондасетрон  амп №5</c:v>
                  </c:pt>
                  <c:pt idx="156">
                    <c:v>Офтавікс очні краплі</c:v>
                  </c:pt>
                  <c:pt idx="157">
                    <c:v>Офтимол очні краплі 5 мг/мл 10мл</c:v>
                  </c:pt>
                  <c:pt idx="158">
                    <c:v>Перекис водню розчин 3% по 100 мл</c:v>
                  </c:pt>
                  <c:pt idx="159">
                    <c:v>Перекис водню розчин 3% по 40 мл</c:v>
                  </c:pt>
                  <c:pt idx="160">
                    <c:v>Пілокарпін очні краплі</c:v>
                  </c:pt>
                  <c:pt idx="161">
                    <c:v>Пластир медичний 1х500</c:v>
                  </c:pt>
                  <c:pt idx="162">
                    <c:v>Пластир медичний 3х500</c:v>
                  </c:pt>
                  <c:pt idx="163">
                    <c:v>Пластир медичний</c:v>
                  </c:pt>
                  <c:pt idx="164">
                    <c:v>Пропофол-Ново фл №5</c:v>
                  </c:pt>
                  <c:pt idx="165">
                    <c:v>Розчин Рінгера 400 мл </c:v>
                  </c:pt>
                  <c:pt idx="166">
                    <c:v>Рукавички хірургічні латексні припудрені р.8.0</c:v>
                  </c:pt>
                  <c:pt idx="167">
                    <c:v>Рукавички хірургічні стерильні  припудрені р.6.5</c:v>
                  </c:pt>
                  <c:pt idx="168">
                    <c:v>Рукавички хірургічні стерильні  припудрені р.7.0</c:v>
                  </c:pt>
                  <c:pt idx="169">
                    <c:v>Рукавички хірургічні стерильні  припудрені р.7.5</c:v>
                  </c:pt>
                  <c:pt idx="170">
                    <c:v>Рукавички хірургічні стерильні  припудрені р.8.5</c:v>
                  </c:pt>
                  <c:pt idx="171">
                    <c:v>Септил  100 мл</c:v>
                  </c:pt>
                  <c:pt idx="172">
                    <c:v>Септил  100 мл 70%</c:v>
                  </c:pt>
                  <c:pt idx="173">
                    <c:v>Солкосерил очний гель</c:v>
                  </c:pt>
                  <c:pt idx="174">
                    <c:v>Тракріум амп 10 мг/мл 2.5 мл №5</c:v>
                  </c:pt>
                  <c:pt idx="175">
                    <c:v>Феноферін очні краплі</c:v>
                  </c:pt>
                  <c:pt idx="176">
                    <c:v>Флоксал очна мазь</c:v>
                  </c:pt>
                  <c:pt idx="177">
                    <c:v>Фуросемід амп №10</c:v>
                  </c:pt>
                  <c:pt idx="178">
                    <c:v>Халат хірургічний</c:v>
                  </c:pt>
                  <c:pt idx="179">
                    <c:v>Цефоктам 0.75 г фл №5</c:v>
                  </c:pt>
                  <c:pt idx="180">
                    <c:v>Цефоктам фл №1</c:v>
                  </c:pt>
                  <c:pt idx="181">
                    <c:v>Цефоктам фл №5</c:v>
                  </c:pt>
                  <c:pt idx="182">
                    <c:v>Цикломед очні краплі</c:v>
                  </c:pt>
                  <c:pt idx="183">
                    <c:v>Ципрофрм очні краплі 0,3% 10 мл</c:v>
                  </c:pt>
                  <c:pt idx="184">
                    <c:v>Шапочка-берет</c:v>
                  </c:pt>
                  <c:pt idx="185">
                    <c:v>Шприць 1,0 мл</c:v>
                  </c:pt>
                  <c:pt idx="186">
                    <c:v>Шприць 2,0 мл </c:v>
                  </c:pt>
                  <c:pt idx="187">
                    <c:v>Шприць 5,0 мл </c:v>
                  </c:pt>
                  <c:pt idx="188">
                    <c:v>Шприць 20,0</c:v>
                  </c:pt>
                  <c:pt idx="189">
                    <c:v>Шприць 10,0</c:v>
                  </c:pt>
                  <c:pt idx="196">
                    <c:v>Х</c:v>
                  </c:pt>
                </c:lvl>
                <c:lvl>
                  <c:pt idx="0">
                    <c:v>В натуральній формі (товари і послуги), тис.грн.</c:v>
                  </c:pt>
                  <c:pt idx="1">
                    <c:v>10.390</c:v>
                  </c:pt>
                  <c:pt idx="2">
                    <c:v>0.280</c:v>
                  </c:pt>
                  <c:pt idx="3">
                    <c:v>4.350</c:v>
                  </c:pt>
                  <c:pt idx="4">
                    <c:v>4.154</c:v>
                  </c:pt>
                  <c:pt idx="5">
                    <c:v>10.899</c:v>
                  </c:pt>
                  <c:pt idx="6">
                    <c:v>0.300</c:v>
                  </c:pt>
                  <c:pt idx="7">
                    <c:v>0.270</c:v>
                  </c:pt>
                  <c:pt idx="8">
                    <c:v>0.630</c:v>
                  </c:pt>
                  <c:pt idx="9">
                    <c:v>1.140</c:v>
                  </c:pt>
                  <c:pt idx="10">
                    <c:v>1.165</c:v>
                  </c:pt>
                  <c:pt idx="11">
                    <c:v>2.454</c:v>
                  </c:pt>
                  <c:pt idx="12">
                    <c:v>0.190</c:v>
                  </c:pt>
                  <c:pt idx="13">
                    <c:v>0.190</c:v>
                  </c:pt>
                  <c:pt idx="14">
                    <c:v>2.200</c:v>
                  </c:pt>
                  <c:pt idx="15">
                    <c:v>2.000</c:v>
                  </c:pt>
                  <c:pt idx="16">
                    <c:v>0.695</c:v>
                  </c:pt>
                  <c:pt idx="17">
                    <c:v>0.600</c:v>
                  </c:pt>
                  <c:pt idx="18">
                    <c:v>0.280</c:v>
                  </c:pt>
                  <c:pt idx="19">
                    <c:v>1.462</c:v>
                  </c:pt>
                  <c:pt idx="20">
                    <c:v>8.308</c:v>
                  </c:pt>
                  <c:pt idx="21">
                    <c:v>20.780</c:v>
                  </c:pt>
                  <c:pt idx="22">
                    <c:v>0.600</c:v>
                  </c:pt>
                  <c:pt idx="23">
                    <c:v>0.250</c:v>
                  </c:pt>
                  <c:pt idx="24">
                    <c:v>0.555</c:v>
                  </c:pt>
                  <c:pt idx="25">
                    <c:v>0.555</c:v>
                  </c:pt>
                  <c:pt idx="26">
                    <c:v>1.136</c:v>
                  </c:pt>
                  <c:pt idx="27">
                    <c:v>1.280</c:v>
                  </c:pt>
                  <c:pt idx="28">
                    <c:v>1.140</c:v>
                  </c:pt>
                  <c:pt idx="29">
                    <c:v>2.750</c:v>
                  </c:pt>
                  <c:pt idx="30">
                    <c:v>2.330</c:v>
                  </c:pt>
                  <c:pt idx="31">
                    <c:v>26.2995</c:v>
                  </c:pt>
                  <c:pt idx="32">
                    <c:v>8.724</c:v>
                  </c:pt>
                  <c:pt idx="33">
                    <c:v>0.002</c:v>
                  </c:pt>
                  <c:pt idx="34">
                    <c:v>0.037</c:v>
                  </c:pt>
                  <c:pt idx="35">
                    <c:v>0.019</c:v>
                  </c:pt>
                  <c:pt idx="36">
                    <c:v>0.052</c:v>
                  </c:pt>
                  <c:pt idx="37">
                    <c:v>0.755</c:v>
                  </c:pt>
                  <c:pt idx="38">
                    <c:v>0.829</c:v>
                  </c:pt>
                  <c:pt idx="39">
                    <c:v>3.187</c:v>
                  </c:pt>
                  <c:pt idx="40">
                    <c:v>0.514</c:v>
                  </c:pt>
                  <c:pt idx="41">
                    <c:v>1.317</c:v>
                  </c:pt>
                  <c:pt idx="42">
                    <c:v>0.890</c:v>
                  </c:pt>
                  <c:pt idx="43">
                    <c:v>0.193</c:v>
                  </c:pt>
                  <c:pt idx="44">
                    <c:v>1.171</c:v>
                  </c:pt>
                  <c:pt idx="45">
                    <c:v>0.028</c:v>
                  </c:pt>
                  <c:pt idx="46">
                    <c:v>0.019</c:v>
                  </c:pt>
                  <c:pt idx="47">
                    <c:v>0.347</c:v>
                  </c:pt>
                  <c:pt idx="48">
                    <c:v>0.552</c:v>
                  </c:pt>
                  <c:pt idx="49">
                    <c:v>0.355</c:v>
                  </c:pt>
                  <c:pt idx="50">
                    <c:v>0.210</c:v>
                  </c:pt>
                  <c:pt idx="51">
                    <c:v>0.201</c:v>
                  </c:pt>
                  <c:pt idx="52">
                    <c:v>1.284</c:v>
                  </c:pt>
                  <c:pt idx="53">
                    <c:v>0.805</c:v>
                  </c:pt>
                  <c:pt idx="54">
                    <c:v>0.445</c:v>
                  </c:pt>
                  <c:pt idx="55">
                    <c:v>0.247</c:v>
                  </c:pt>
                  <c:pt idx="56">
                    <c:v>0.325</c:v>
                  </c:pt>
                  <c:pt idx="57">
                    <c:v>4.237</c:v>
                  </c:pt>
                  <c:pt idx="58">
                    <c:v>0.249</c:v>
                  </c:pt>
                  <c:pt idx="59">
                    <c:v>0.017</c:v>
                  </c:pt>
                  <c:pt idx="60">
                    <c:v>0.274</c:v>
                  </c:pt>
                  <c:pt idx="61">
                    <c:v>1.589</c:v>
                  </c:pt>
                  <c:pt idx="62">
                    <c:v>3.860</c:v>
                  </c:pt>
                  <c:pt idx="63">
                    <c:v>0.205</c:v>
                  </c:pt>
                  <c:pt idx="64">
                    <c:v>0.481</c:v>
                  </c:pt>
                  <c:pt idx="65">
                    <c:v>0.195</c:v>
                  </c:pt>
                  <c:pt idx="66">
                    <c:v>0.272</c:v>
                  </c:pt>
                  <c:pt idx="67">
                    <c:v>0.441</c:v>
                  </c:pt>
                  <c:pt idx="68">
                    <c:v>0.832</c:v>
                  </c:pt>
                  <c:pt idx="69">
                    <c:v>0.023</c:v>
                  </c:pt>
                  <c:pt idx="70">
                    <c:v>0.023</c:v>
                  </c:pt>
                  <c:pt idx="71">
                    <c:v>0.023</c:v>
                  </c:pt>
                  <c:pt idx="72">
                    <c:v>0.692</c:v>
                  </c:pt>
                  <c:pt idx="73">
                    <c:v>15.636</c:v>
                  </c:pt>
                  <c:pt idx="74">
                    <c:v>0.119</c:v>
                  </c:pt>
                  <c:pt idx="75">
                    <c:v>3.884</c:v>
                  </c:pt>
                  <c:pt idx="76">
                    <c:v>4.298</c:v>
                  </c:pt>
                  <c:pt idx="77">
                    <c:v>3.377</c:v>
                  </c:pt>
                  <c:pt idx="78">
                    <c:v>2.763</c:v>
                  </c:pt>
                  <c:pt idx="79">
                    <c:v>1.228</c:v>
                  </c:pt>
                  <c:pt idx="80">
                    <c:v>0.921</c:v>
                  </c:pt>
                  <c:pt idx="81">
                    <c:v>1.775</c:v>
                  </c:pt>
                  <c:pt idx="82">
                    <c:v>2.763</c:v>
                  </c:pt>
                  <c:pt idx="83">
                    <c:v>1.775</c:v>
                  </c:pt>
                  <c:pt idx="84">
                    <c:v>2.979</c:v>
                  </c:pt>
                  <c:pt idx="85">
                    <c:v>4.377</c:v>
                  </c:pt>
                  <c:pt idx="86">
                    <c:v>0.589</c:v>
                  </c:pt>
                  <c:pt idx="87">
                    <c:v>0.026</c:v>
                  </c:pt>
                  <c:pt idx="88">
                    <c:v>1.923</c:v>
                  </c:pt>
                  <c:pt idx="89">
                    <c:v>0.951</c:v>
                  </c:pt>
                  <c:pt idx="90">
                    <c:v>13.176</c:v>
                  </c:pt>
                  <c:pt idx="91">
                    <c:v>0.192</c:v>
                  </c:pt>
                  <c:pt idx="92">
                    <c:v>0.365</c:v>
                  </c:pt>
                  <c:pt idx="93">
                    <c:v>0.637</c:v>
                  </c:pt>
                  <c:pt idx="94">
                    <c:v>0.956</c:v>
                  </c:pt>
                  <c:pt idx="95">
                    <c:v>0.535</c:v>
                  </c:pt>
                  <c:pt idx="96">
                    <c:v>1.537</c:v>
                  </c:pt>
                  <c:pt idx="97">
                    <c:v>0.679</c:v>
                  </c:pt>
                  <c:pt idx="98">
                    <c:v>0.602</c:v>
                  </c:pt>
                  <c:pt idx="99">
                    <c:v>1.345</c:v>
                  </c:pt>
                  <c:pt idx="100">
                    <c:v>0.462</c:v>
                  </c:pt>
                  <c:pt idx="101">
                    <c:v>1.700</c:v>
                  </c:pt>
                  <c:pt idx="103">
                    <c:v>13.105</c:v>
                  </c:pt>
                  <c:pt idx="104">
                    <c:v>1.500</c:v>
                  </c:pt>
                  <c:pt idx="105">
                    <c:v>0.010</c:v>
                  </c:pt>
                  <c:pt idx="106">
                    <c:v>0.055</c:v>
                  </c:pt>
                  <c:pt idx="107">
                    <c:v>0.960</c:v>
                  </c:pt>
                  <c:pt idx="108">
                    <c:v>0.960</c:v>
                  </c:pt>
                  <c:pt idx="109">
                    <c:v>1.750</c:v>
                  </c:pt>
                  <c:pt idx="110">
                    <c:v>26.300</c:v>
                  </c:pt>
                  <c:pt idx="111">
                    <c:v>21.800</c:v>
                  </c:pt>
                  <c:pt idx="112">
                    <c:v>0.420</c:v>
                  </c:pt>
                  <c:pt idx="113">
                    <c:v>0.300</c:v>
                  </c:pt>
                  <c:pt idx="114">
                    <c:v>0.580</c:v>
                  </c:pt>
                  <c:pt idx="115">
                    <c:v>0.290</c:v>
                  </c:pt>
                  <c:pt idx="116">
                    <c:v>0.570</c:v>
                  </c:pt>
                  <c:pt idx="117">
                    <c:v>1.300</c:v>
                  </c:pt>
                  <c:pt idx="118">
                    <c:v>0.508</c:v>
                  </c:pt>
                  <c:pt idx="119">
                    <c:v>0.570</c:v>
                  </c:pt>
                  <c:pt idx="120">
                    <c:v>2.328</c:v>
                  </c:pt>
                  <c:pt idx="121">
                    <c:v>7.070</c:v>
                  </c:pt>
                  <c:pt idx="122">
                    <c:v>9.889</c:v>
                  </c:pt>
                  <c:pt idx="123">
                    <c:v>0.139</c:v>
                  </c:pt>
                  <c:pt idx="124">
                    <c:v>0.019</c:v>
                  </c:pt>
                  <c:pt idx="125">
                    <c:v>0.100</c:v>
                  </c:pt>
                  <c:pt idx="126">
                    <c:v>0.120</c:v>
                  </c:pt>
                  <c:pt idx="127">
                    <c:v>2.505</c:v>
                  </c:pt>
                  <c:pt idx="128">
                    <c:v>1.028</c:v>
                  </c:pt>
                  <c:pt idx="129">
                    <c:v>2.765</c:v>
                  </c:pt>
                  <c:pt idx="130">
                    <c:v>0.041</c:v>
                  </c:pt>
                  <c:pt idx="131">
                    <c:v>1.036</c:v>
                  </c:pt>
                  <c:pt idx="132">
                    <c:v>0.067</c:v>
                  </c:pt>
                  <c:pt idx="133">
                    <c:v>0.212</c:v>
                  </c:pt>
                  <c:pt idx="134">
                    <c:v>0.092</c:v>
                  </c:pt>
                  <c:pt idx="135">
                    <c:v>1.002</c:v>
                  </c:pt>
                  <c:pt idx="136">
                    <c:v>0.869</c:v>
                  </c:pt>
                  <c:pt idx="137">
                    <c:v>15.589</c:v>
                  </c:pt>
                  <c:pt idx="138">
                    <c:v>0.059</c:v>
                  </c:pt>
                  <c:pt idx="139">
                    <c:v>0.695</c:v>
                  </c:pt>
                  <c:pt idx="140">
                    <c:v>0.184</c:v>
                  </c:pt>
                  <c:pt idx="141">
                    <c:v>0.019</c:v>
                  </c:pt>
                  <c:pt idx="142">
                    <c:v>0.885</c:v>
                  </c:pt>
                  <c:pt idx="143">
                    <c:v>0.110</c:v>
                  </c:pt>
                  <c:pt idx="144">
                    <c:v>0.542</c:v>
                  </c:pt>
                  <c:pt idx="145">
                    <c:v>0.323</c:v>
                  </c:pt>
                  <c:pt idx="146">
                    <c:v>1.312</c:v>
                  </c:pt>
                  <c:pt idx="147">
                    <c:v>0.212</c:v>
                  </c:pt>
                  <c:pt idx="148">
                    <c:v>0.249</c:v>
                  </c:pt>
                  <c:pt idx="149">
                    <c:v>0.756</c:v>
                  </c:pt>
                  <c:pt idx="150">
                    <c:v>0.218</c:v>
                  </c:pt>
                  <c:pt idx="151">
                    <c:v>2.346</c:v>
                  </c:pt>
                  <c:pt idx="152">
                    <c:v>0.057</c:v>
                  </c:pt>
                  <c:pt idx="153">
                    <c:v>5.126</c:v>
                  </c:pt>
                  <c:pt idx="154">
                    <c:v>0.845</c:v>
                  </c:pt>
                  <c:pt idx="155">
                    <c:v>0.060</c:v>
                  </c:pt>
                  <c:pt idx="156">
                    <c:v>13.697</c:v>
                  </c:pt>
                  <c:pt idx="157">
                    <c:v>0.459</c:v>
                  </c:pt>
                  <c:pt idx="158">
                    <c:v>0.231</c:v>
                  </c:pt>
                  <c:pt idx="159">
                    <c:v>0.053</c:v>
                  </c:pt>
                  <c:pt idx="160">
                    <c:v>0.201</c:v>
                  </c:pt>
                  <c:pt idx="161">
                    <c:v>0.219</c:v>
                  </c:pt>
                  <c:pt idx="162">
                    <c:v>1.681</c:v>
                  </c:pt>
                  <c:pt idx="163">
                    <c:v>0.206</c:v>
                  </c:pt>
                  <c:pt idx="164">
                    <c:v>10.099</c:v>
                  </c:pt>
                  <c:pt idx="165">
                    <c:v>11.031</c:v>
                  </c:pt>
                  <c:pt idx="166">
                    <c:v>0.730</c:v>
                  </c:pt>
                  <c:pt idx="167">
                    <c:v>2.404</c:v>
                  </c:pt>
                  <c:pt idx="168">
                    <c:v>4.087</c:v>
                  </c:pt>
                  <c:pt idx="169">
                    <c:v>4.327</c:v>
                  </c:pt>
                  <c:pt idx="170">
                    <c:v>3.306</c:v>
                  </c:pt>
                  <c:pt idx="171">
                    <c:v>2.321</c:v>
                  </c:pt>
                  <c:pt idx="172">
                    <c:v>1.735</c:v>
                  </c:pt>
                  <c:pt idx="173">
                    <c:v>2.340</c:v>
                  </c:pt>
                  <c:pt idx="174">
                    <c:v>1.835</c:v>
                  </c:pt>
                  <c:pt idx="175">
                    <c:v>0.490</c:v>
                  </c:pt>
                  <c:pt idx="176">
                    <c:v>6.763</c:v>
                  </c:pt>
                  <c:pt idx="177">
                    <c:v>0.192</c:v>
                  </c:pt>
                  <c:pt idx="178">
                    <c:v>0.475</c:v>
                  </c:pt>
                  <c:pt idx="179">
                    <c:v>0.682</c:v>
                  </c:pt>
                  <c:pt idx="180">
                    <c:v>2.071</c:v>
                  </c:pt>
                  <c:pt idx="181">
                    <c:v>0.682</c:v>
                  </c:pt>
                  <c:pt idx="182">
                    <c:v>2.649</c:v>
                  </c:pt>
                  <c:pt idx="183">
                    <c:v>0.221</c:v>
                  </c:pt>
                  <c:pt idx="184">
                    <c:v>0.993</c:v>
                  </c:pt>
                  <c:pt idx="185">
                    <c:v>1.945</c:v>
                  </c:pt>
                  <c:pt idx="186">
                    <c:v>1.894</c:v>
                  </c:pt>
                  <c:pt idx="187">
                    <c:v>1.778</c:v>
                  </c:pt>
                  <c:pt idx="188">
                    <c:v>1.414</c:v>
                  </c:pt>
                  <c:pt idx="189">
                    <c:v>0.151</c:v>
                  </c:pt>
                  <c:pt idx="196">
                    <c:v>430.331</c:v>
                  </c:pt>
                </c:lvl>
                <c:lvl>
                  <c:pt idx="0">
                    <c:v>В грошовій формі, тис.грн.</c:v>
                  </c:pt>
                  <c:pt idx="102">
                    <c:v>14.691</c:v>
                  </c:pt>
                  <c:pt idx="196">
                    <c:v>14.691</c:v>
                  </c:pt>
                </c:lvl>
                <c:lvl>
                  <c:pt idx="1">
                    <c:v>ФОП Качур  А.М</c:v>
                  </c:pt>
                  <c:pt idx="14">
                    <c:v>ТОВ "ВЕЛТА ТРЕЙДІНГ"</c:v>
                  </c:pt>
                  <c:pt idx="31">
                    <c:v>ДП "Біоімплант" МОЗ України</c:v>
                  </c:pt>
                  <c:pt idx="32">
                    <c:v>Благодійний фонд "Здоров'я України"</c:v>
                  </c:pt>
                  <c:pt idx="101">
                    <c:v>Волонтерський рух "Блюз за Україну"</c:v>
                  </c:pt>
                  <c:pt idx="102">
                    <c:v>Фізичні особи</c:v>
                  </c:pt>
                  <c:pt idx="103">
                    <c:v>КОНЗ "Іларіонівска ЗОШ І-ІІІ ступенів"</c:v>
                  </c:pt>
                  <c:pt idx="110">
                    <c:v>ДП "Біоімплант" МОЗ України</c:v>
                  </c:pt>
                  <c:pt idx="111">
                    <c:v>ФОП Качур  А.М</c:v>
                  </c:pt>
                  <c:pt idx="121">
                    <c:v>Благодійний фонд "Здоров'я України"</c:v>
                  </c:pt>
                </c:lvl>
                <c:lvl>
                  <c:pt idx="1">
                    <c:v>І квартал</c:v>
                  </c:pt>
                  <c:pt idx="103">
                    <c:v>ІІ квартал</c:v>
                  </c:pt>
                  <c:pt idx="192">
                    <c:v>ІІІ квартал</c:v>
                  </c:pt>
                  <c:pt idx="194">
                    <c:v>ІV квартал</c:v>
                  </c:pt>
                  <c:pt idx="196">
                    <c:v>Всього за рік</c:v>
                  </c:pt>
                </c:lvl>
              </c:multiLvlStrCache>
            </c:multiLvlStrRef>
          </c:cat>
          <c:val>
            <c:numRef>
              <c:f>'На стенд ІІ квартал_по приходу'!$K$12:$K$208</c:f>
              <c:numCache>
                <c:formatCode>0.000</c:formatCode>
                <c:ptCount val="19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 formatCode="0.0000">
                  <c:v>0</c:v>
                </c:pt>
                <c:pt idx="32">
                  <c:v>3.1261100000000002</c:v>
                </c:pt>
                <c:pt idx="33">
                  <c:v>2.4099999999999998E-3</c:v>
                </c:pt>
                <c:pt idx="34">
                  <c:v>1.8699999999999999E-3</c:v>
                </c:pt>
                <c:pt idx="35">
                  <c:v>0</c:v>
                </c:pt>
                <c:pt idx="36">
                  <c:v>0</c:v>
                </c:pt>
                <c:pt idx="37">
                  <c:v>0.12144000000000001</c:v>
                </c:pt>
                <c:pt idx="38">
                  <c:v>0.56781999999999999</c:v>
                </c:pt>
                <c:pt idx="39">
                  <c:v>1.8159099999999999</c:v>
                </c:pt>
                <c:pt idx="40">
                  <c:v>0.25700000000000001</c:v>
                </c:pt>
                <c:pt idx="41">
                  <c:v>1.3168500000000001</c:v>
                </c:pt>
                <c:pt idx="42">
                  <c:v>0.83048</c:v>
                </c:pt>
                <c:pt idx="43">
                  <c:v>0</c:v>
                </c:pt>
                <c:pt idx="44">
                  <c:v>0.79327999999999999</c:v>
                </c:pt>
                <c:pt idx="45">
                  <c:v>1.421E-2</c:v>
                </c:pt>
                <c:pt idx="46">
                  <c:v>0</c:v>
                </c:pt>
                <c:pt idx="47">
                  <c:v>0</c:v>
                </c:pt>
                <c:pt idx="48">
                  <c:v>3.9410000000000001E-2</c:v>
                </c:pt>
                <c:pt idx="49">
                  <c:v>0.35499999999999998</c:v>
                </c:pt>
                <c:pt idx="50">
                  <c:v>0.20965</c:v>
                </c:pt>
                <c:pt idx="51">
                  <c:v>0.20143</c:v>
                </c:pt>
                <c:pt idx="52">
                  <c:v>0.64175000000000004</c:v>
                </c:pt>
                <c:pt idx="53">
                  <c:v>0.37791000000000002</c:v>
                </c:pt>
                <c:pt idx="54">
                  <c:v>0.10752</c:v>
                </c:pt>
                <c:pt idx="55">
                  <c:v>0.24717</c:v>
                </c:pt>
                <c:pt idx="56">
                  <c:v>0.32501999999999998</c:v>
                </c:pt>
                <c:pt idx="57">
                  <c:v>0.70620000000000005</c:v>
                </c:pt>
                <c:pt idx="58">
                  <c:v>0.13125999999999999</c:v>
                </c:pt>
                <c:pt idx="59">
                  <c:v>0</c:v>
                </c:pt>
                <c:pt idx="60">
                  <c:v>0.27403</c:v>
                </c:pt>
                <c:pt idx="61">
                  <c:v>0.61597999999999997</c:v>
                </c:pt>
                <c:pt idx="62">
                  <c:v>1.73715</c:v>
                </c:pt>
                <c:pt idx="63">
                  <c:v>0</c:v>
                </c:pt>
                <c:pt idx="64">
                  <c:v>0</c:v>
                </c:pt>
                <c:pt idx="65">
                  <c:v>5.1880000000000003E-2</c:v>
                </c:pt>
                <c:pt idx="66">
                  <c:v>0.2722</c:v>
                </c:pt>
                <c:pt idx="67">
                  <c:v>0.34860000000000002</c:v>
                </c:pt>
                <c:pt idx="68">
                  <c:v>0.66300000000000003</c:v>
                </c:pt>
                <c:pt idx="69">
                  <c:v>2.2499999999999999E-2</c:v>
                </c:pt>
                <c:pt idx="70">
                  <c:v>1.125E-2</c:v>
                </c:pt>
                <c:pt idx="71">
                  <c:v>2.2499999999999999E-2</c:v>
                </c:pt>
                <c:pt idx="72">
                  <c:v>0.6915</c:v>
                </c:pt>
                <c:pt idx="73">
                  <c:v>3.8064200000000001</c:v>
                </c:pt>
                <c:pt idx="74">
                  <c:v>0.11871</c:v>
                </c:pt>
                <c:pt idx="75">
                  <c:v>0.40134999999999998</c:v>
                </c:pt>
                <c:pt idx="76">
                  <c:v>2.7629999999999999</c:v>
                </c:pt>
                <c:pt idx="77">
                  <c:v>1.7806</c:v>
                </c:pt>
                <c:pt idx="78">
                  <c:v>0.61399999999999999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0.307</c:v>
                </c:pt>
                <c:pt idx="83">
                  <c:v>0</c:v>
                </c:pt>
                <c:pt idx="84">
                  <c:v>0.92447999999999997</c:v>
                </c:pt>
                <c:pt idx="85">
                  <c:v>2.4395699999999998</c:v>
                </c:pt>
                <c:pt idx="86">
                  <c:v>0.58884000000000003</c:v>
                </c:pt>
                <c:pt idx="87">
                  <c:v>0</c:v>
                </c:pt>
                <c:pt idx="88">
                  <c:v>1.6483699999999999</c:v>
                </c:pt>
                <c:pt idx="89">
                  <c:v>0.95101999999999998</c:v>
                </c:pt>
                <c:pt idx="90">
                  <c:v>2.89845</c:v>
                </c:pt>
                <c:pt idx="91">
                  <c:v>0.11787</c:v>
                </c:pt>
                <c:pt idx="92">
                  <c:v>0.15210000000000001</c:v>
                </c:pt>
                <c:pt idx="93">
                  <c:v>0</c:v>
                </c:pt>
                <c:pt idx="94">
                  <c:v>0.57376000000000005</c:v>
                </c:pt>
                <c:pt idx="95">
                  <c:v>0.17111999999999999</c:v>
                </c:pt>
                <c:pt idx="96">
                  <c:v>0.98087999999999997</c:v>
                </c:pt>
                <c:pt idx="97">
                  <c:v>0.40255000000000002</c:v>
                </c:pt>
                <c:pt idx="98">
                  <c:v>0.10829999999999999</c:v>
                </c:pt>
                <c:pt idx="99">
                  <c:v>0.64068000000000003</c:v>
                </c:pt>
                <c:pt idx="100">
                  <c:v>0.4158</c:v>
                </c:pt>
                <c:pt idx="101">
                  <c:v>1.7</c:v>
                </c:pt>
                <c:pt idx="102">
                  <c:v>14.691000000000001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1.2691399999999999</c:v>
                </c:pt>
                <c:pt idx="122">
                  <c:v>3.3901699999999999</c:v>
                </c:pt>
                <c:pt idx="123">
                  <c:v>6.4000000000000001E-2</c:v>
                </c:pt>
                <c:pt idx="124">
                  <c:v>0</c:v>
                </c:pt>
                <c:pt idx="125">
                  <c:v>5.2999999999999999E-2</c:v>
                </c:pt>
                <c:pt idx="126">
                  <c:v>0</c:v>
                </c:pt>
                <c:pt idx="127">
                  <c:v>0</c:v>
                </c:pt>
                <c:pt idx="128">
                  <c:v>0.1285</c:v>
                </c:pt>
                <c:pt idx="129">
                  <c:v>2.7653799999999999</c:v>
                </c:pt>
                <c:pt idx="130">
                  <c:v>0</c:v>
                </c:pt>
                <c:pt idx="131">
                  <c:v>0.24717</c:v>
                </c:pt>
                <c:pt idx="132">
                  <c:v>4.0280000000000003E-2</c:v>
                </c:pt>
                <c:pt idx="133">
                  <c:v>9.4E-2</c:v>
                </c:pt>
                <c:pt idx="134">
                  <c:v>1.2239999999999999E-2</c:v>
                </c:pt>
                <c:pt idx="135">
                  <c:v>0</c:v>
                </c:pt>
                <c:pt idx="136">
                  <c:v>0</c:v>
                </c:pt>
                <c:pt idx="137">
                  <c:v>1.5589200000000001</c:v>
                </c:pt>
                <c:pt idx="138">
                  <c:v>3.415E-2</c:v>
                </c:pt>
                <c:pt idx="139">
                  <c:v>0</c:v>
                </c:pt>
                <c:pt idx="140">
                  <c:v>0</c:v>
                </c:pt>
                <c:pt idx="141">
                  <c:v>1.8679999999999999E-2</c:v>
                </c:pt>
                <c:pt idx="142">
                  <c:v>0</c:v>
                </c:pt>
                <c:pt idx="143">
                  <c:v>4.3799999999999999E-2</c:v>
                </c:pt>
                <c:pt idx="144">
                  <c:v>0.21468000000000001</c:v>
                </c:pt>
                <c:pt idx="145">
                  <c:v>0</c:v>
                </c:pt>
                <c:pt idx="146">
                  <c:v>0.26039000000000001</c:v>
                </c:pt>
                <c:pt idx="147">
                  <c:v>0</c:v>
                </c:pt>
                <c:pt idx="148">
                  <c:v>0.24890000000000001</c:v>
                </c:pt>
                <c:pt idx="149">
                  <c:v>0</c:v>
                </c:pt>
                <c:pt idx="150">
                  <c:v>0.15261</c:v>
                </c:pt>
                <c:pt idx="151">
                  <c:v>1.17286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0.55930000000000002</c:v>
                </c:pt>
                <c:pt idx="157">
                  <c:v>0.10593</c:v>
                </c:pt>
                <c:pt idx="158">
                  <c:v>4.8849999999999998E-2</c:v>
                </c:pt>
                <c:pt idx="159">
                  <c:v>0</c:v>
                </c:pt>
                <c:pt idx="160">
                  <c:v>0</c:v>
                </c:pt>
                <c:pt idx="161">
                  <c:v>0.1032</c:v>
                </c:pt>
                <c:pt idx="162">
                  <c:v>0.55113999999999996</c:v>
                </c:pt>
                <c:pt idx="163">
                  <c:v>0</c:v>
                </c:pt>
                <c:pt idx="164">
                  <c:v>0</c:v>
                </c:pt>
                <c:pt idx="165">
                  <c:v>1.3577900000000001</c:v>
                </c:pt>
                <c:pt idx="166">
                  <c:v>0</c:v>
                </c:pt>
                <c:pt idx="167">
                  <c:v>0</c:v>
                </c:pt>
                <c:pt idx="168">
                  <c:v>1.0878099999999999</c:v>
                </c:pt>
                <c:pt idx="169">
                  <c:v>2.9449000000000001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1.83538</c:v>
                </c:pt>
                <c:pt idx="175">
                  <c:v>0</c:v>
                </c:pt>
                <c:pt idx="176">
                  <c:v>0</c:v>
                </c:pt>
                <c:pt idx="177">
                  <c:v>2.9479999999999999E-2</c:v>
                </c:pt>
                <c:pt idx="178">
                  <c:v>0.14249999999999999</c:v>
                </c:pt>
                <c:pt idx="179">
                  <c:v>0</c:v>
                </c:pt>
                <c:pt idx="180">
                  <c:v>0.57355999999999996</c:v>
                </c:pt>
                <c:pt idx="181">
                  <c:v>0</c:v>
                </c:pt>
                <c:pt idx="182">
                  <c:v>2.2522799999999998</c:v>
                </c:pt>
                <c:pt idx="183">
                  <c:v>0</c:v>
                </c:pt>
                <c:pt idx="184">
                  <c:v>0.11654</c:v>
                </c:pt>
                <c:pt idx="185">
                  <c:v>0.50953999999999999</c:v>
                </c:pt>
                <c:pt idx="186">
                  <c:v>0.58914</c:v>
                </c:pt>
                <c:pt idx="187">
                  <c:v>8.0939999999999998E-2</c:v>
                </c:pt>
                <c:pt idx="188">
                  <c:v>0</c:v>
                </c:pt>
                <c:pt idx="189">
                  <c:v>0</c:v>
                </c:pt>
                <c:pt idx="192">
                  <c:v>0</c:v>
                </c:pt>
                <c:pt idx="194">
                  <c:v>0</c:v>
                </c:pt>
                <c:pt idx="196">
                  <c:v>80.753309999999999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E07-49EA-8C70-3ECB0D2FE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513792"/>
        <c:axId val="94536064"/>
      </c:barChart>
      <c:catAx>
        <c:axId val="9451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94536064"/>
        <c:crosses val="autoZero"/>
        <c:auto val="1"/>
        <c:lblAlgn val="ctr"/>
        <c:lblOffset val="100"/>
        <c:noMultiLvlLbl val="0"/>
      </c:catAx>
      <c:valAx>
        <c:axId val="9453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94513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7350" cy="60007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topLeftCell="A112" workbookViewId="0">
      <selection activeCell="H117" sqref="H117"/>
    </sheetView>
  </sheetViews>
  <sheetFormatPr defaultRowHeight="15" x14ac:dyDescent="0.25"/>
  <cols>
    <col min="1" max="1" width="9.42578125" customWidth="1"/>
    <col min="2" max="2" width="19.85546875" customWidth="1"/>
    <col min="3" max="3" width="9.42578125" customWidth="1"/>
    <col min="4" max="4" width="10.85546875" style="23" customWidth="1"/>
    <col min="5" max="5" width="24.7109375" customWidth="1"/>
    <col min="6" max="6" width="11.7109375" style="38" customWidth="1"/>
    <col min="7" max="7" width="14" customWidth="1"/>
    <col min="8" max="8" width="10" customWidth="1"/>
    <col min="9" max="9" width="26.140625" style="19" customWidth="1"/>
    <col min="10" max="10" width="9.42578125" style="31" customWidth="1"/>
    <col min="11" max="11" width="17.28515625" style="31" customWidth="1"/>
  </cols>
  <sheetData>
    <row r="1" spans="1:11" x14ac:dyDescent="0.25">
      <c r="I1" s="17" t="s">
        <v>19</v>
      </c>
    </row>
    <row r="2" spans="1:11" x14ac:dyDescent="0.25">
      <c r="I2" s="17" t="s">
        <v>20</v>
      </c>
    </row>
    <row r="3" spans="1:11" x14ac:dyDescent="0.25">
      <c r="I3" s="17" t="s">
        <v>21</v>
      </c>
    </row>
    <row r="5" spans="1:11" ht="18.75" x14ac:dyDescent="0.3">
      <c r="B5" s="10"/>
      <c r="C5" s="10"/>
      <c r="D5" s="257" t="s">
        <v>18</v>
      </c>
      <c r="E5" s="257"/>
      <c r="F5" s="257"/>
      <c r="G5" s="257"/>
      <c r="H5" s="257"/>
      <c r="I5" s="18"/>
      <c r="J5" s="32"/>
    </row>
    <row r="6" spans="1:11" ht="18.75" x14ac:dyDescent="0.3">
      <c r="B6" s="258" t="s">
        <v>49</v>
      </c>
      <c r="C6" s="258"/>
      <c r="D6" s="258"/>
      <c r="E6" s="258"/>
      <c r="F6" s="258"/>
      <c r="G6" s="258"/>
      <c r="H6" s="258"/>
      <c r="I6" s="258"/>
      <c r="J6" s="258"/>
    </row>
    <row r="7" spans="1:11" ht="18.75" x14ac:dyDescent="0.3">
      <c r="B7" s="259" t="s">
        <v>48</v>
      </c>
      <c r="C7" s="259"/>
      <c r="D7" s="259"/>
      <c r="E7" s="259"/>
      <c r="F7" s="259"/>
      <c r="G7" s="259"/>
      <c r="H7" s="259"/>
      <c r="I7" s="259"/>
      <c r="J7" s="259"/>
    </row>
    <row r="8" spans="1:11" x14ac:dyDescent="0.25">
      <c r="B8" s="9"/>
      <c r="C8" s="260" t="s">
        <v>50</v>
      </c>
      <c r="D8" s="260"/>
      <c r="E8" s="260"/>
      <c r="F8" s="261"/>
      <c r="G8" s="261"/>
      <c r="H8" s="261"/>
      <c r="I8" s="261"/>
      <c r="J8" s="33"/>
    </row>
    <row r="9" spans="1:11" x14ac:dyDescent="0.25">
      <c r="D9" s="24"/>
      <c r="E9" s="7"/>
      <c r="F9" s="39"/>
      <c r="G9" s="7"/>
      <c r="H9" s="7"/>
    </row>
    <row r="11" spans="1:11" ht="56.25" customHeight="1" x14ac:dyDescent="0.25">
      <c r="A11" s="264" t="s">
        <v>0</v>
      </c>
      <c r="B11" s="264" t="s">
        <v>1</v>
      </c>
      <c r="C11" s="256" t="s">
        <v>2</v>
      </c>
      <c r="D11" s="256"/>
      <c r="E11" s="256"/>
      <c r="F11" s="254" t="s">
        <v>6</v>
      </c>
      <c r="G11" s="255" t="s">
        <v>7</v>
      </c>
      <c r="H11" s="255"/>
      <c r="I11" s="255"/>
      <c r="J11" s="255"/>
      <c r="K11" s="253" t="s">
        <v>11</v>
      </c>
    </row>
    <row r="12" spans="1:11" ht="90.75" customHeight="1" x14ac:dyDescent="0.25">
      <c r="A12" s="264"/>
      <c r="B12" s="264"/>
      <c r="C12" s="2" t="s">
        <v>3</v>
      </c>
      <c r="D12" s="25" t="s">
        <v>4</v>
      </c>
      <c r="E12" s="12" t="s">
        <v>5</v>
      </c>
      <c r="F12" s="254"/>
      <c r="G12" s="3" t="s">
        <v>8</v>
      </c>
      <c r="H12" s="2" t="s">
        <v>9</v>
      </c>
      <c r="I12" s="20" t="s">
        <v>10</v>
      </c>
      <c r="J12" s="34" t="s">
        <v>9</v>
      </c>
      <c r="K12" s="253"/>
    </row>
    <row r="13" spans="1:11" ht="51" customHeight="1" x14ac:dyDescent="0.3">
      <c r="A13" s="262" t="s">
        <v>13</v>
      </c>
      <c r="B13" s="52" t="s">
        <v>22</v>
      </c>
      <c r="C13" s="44"/>
      <c r="D13" s="26">
        <v>10.39</v>
      </c>
      <c r="E13" s="13" t="s">
        <v>23</v>
      </c>
      <c r="F13" s="40">
        <f>D13</f>
        <v>10.39</v>
      </c>
      <c r="G13" s="45"/>
      <c r="H13" s="45"/>
      <c r="I13" s="13" t="s">
        <v>23</v>
      </c>
      <c r="J13" s="26">
        <v>10.39</v>
      </c>
      <c r="K13" s="37">
        <v>0</v>
      </c>
    </row>
    <row r="14" spans="1:11" x14ac:dyDescent="0.25">
      <c r="A14" s="263"/>
      <c r="B14" s="45"/>
      <c r="C14" s="44"/>
      <c r="D14" s="26">
        <f>0.14+0.14</f>
        <v>0.28000000000000003</v>
      </c>
      <c r="E14" s="13" t="s">
        <v>24</v>
      </c>
      <c r="F14" s="40">
        <f t="shared" ref="F14:F77" si="0">D14</f>
        <v>0.28000000000000003</v>
      </c>
      <c r="G14" s="45"/>
      <c r="H14" s="45"/>
      <c r="I14" s="13" t="s">
        <v>24</v>
      </c>
      <c r="J14" s="46">
        <f>0.14+0.14</f>
        <v>0.28000000000000003</v>
      </c>
      <c r="K14" s="46">
        <v>0</v>
      </c>
    </row>
    <row r="15" spans="1:11" ht="51" customHeight="1" x14ac:dyDescent="0.25">
      <c r="A15" s="11"/>
      <c r="B15" s="45"/>
      <c r="C15" s="44"/>
      <c r="D15" s="26">
        <v>4.3499999999999996</v>
      </c>
      <c r="E15" s="13" t="s">
        <v>117</v>
      </c>
      <c r="F15" s="40">
        <f t="shared" si="0"/>
        <v>4.3499999999999996</v>
      </c>
      <c r="G15" s="45"/>
      <c r="H15" s="45"/>
      <c r="I15" s="13" t="s">
        <v>117</v>
      </c>
      <c r="J15" s="26">
        <v>4.3499999999999996</v>
      </c>
      <c r="K15" s="46">
        <v>0</v>
      </c>
    </row>
    <row r="16" spans="1:11" x14ac:dyDescent="0.25">
      <c r="A16" s="11"/>
      <c r="B16" s="45"/>
      <c r="C16" s="44"/>
      <c r="D16" s="26">
        <v>4.1539999999999999</v>
      </c>
      <c r="E16" s="13" t="s">
        <v>25</v>
      </c>
      <c r="F16" s="40">
        <f t="shared" si="0"/>
        <v>4.1539999999999999</v>
      </c>
      <c r="G16" s="45"/>
      <c r="H16" s="45"/>
      <c r="I16" s="13" t="s">
        <v>25</v>
      </c>
      <c r="J16" s="26">
        <v>4.1539999999999999</v>
      </c>
      <c r="K16" s="46">
        <v>0</v>
      </c>
    </row>
    <row r="17" spans="1:11" ht="30" customHeight="1" x14ac:dyDescent="0.25">
      <c r="A17" s="11"/>
      <c r="B17" s="45"/>
      <c r="C17" s="44"/>
      <c r="D17" s="26">
        <v>10.898999999999999</v>
      </c>
      <c r="E17" s="13" t="s">
        <v>26</v>
      </c>
      <c r="F17" s="40">
        <f t="shared" si="0"/>
        <v>10.898999999999999</v>
      </c>
      <c r="G17" s="45"/>
      <c r="H17" s="45"/>
      <c r="I17" s="13" t="s">
        <v>26</v>
      </c>
      <c r="J17" s="26">
        <v>10.898999999999999</v>
      </c>
      <c r="K17" s="46">
        <v>0</v>
      </c>
    </row>
    <row r="18" spans="1:11" ht="32.25" customHeight="1" x14ac:dyDescent="0.25">
      <c r="A18" s="11"/>
      <c r="B18" s="45"/>
      <c r="C18" s="44"/>
      <c r="D18" s="26">
        <v>0.3</v>
      </c>
      <c r="E18" s="13" t="s">
        <v>115</v>
      </c>
      <c r="F18" s="40">
        <f t="shared" si="0"/>
        <v>0.3</v>
      </c>
      <c r="G18" s="45"/>
      <c r="H18" s="45"/>
      <c r="I18" s="13" t="s">
        <v>116</v>
      </c>
      <c r="J18" s="26">
        <v>0.3</v>
      </c>
      <c r="K18" s="46">
        <v>0</v>
      </c>
    </row>
    <row r="19" spans="1:11" ht="31.5" customHeight="1" x14ac:dyDescent="0.25">
      <c r="A19" s="11"/>
      <c r="B19" s="45"/>
      <c r="C19" s="44"/>
      <c r="D19" s="27">
        <v>0.27</v>
      </c>
      <c r="E19" s="14" t="s">
        <v>27</v>
      </c>
      <c r="F19" s="40">
        <f t="shared" si="0"/>
        <v>0.27</v>
      </c>
      <c r="G19" s="45"/>
      <c r="H19" s="45"/>
      <c r="I19" s="14" t="s">
        <v>27</v>
      </c>
      <c r="J19" s="27">
        <v>0.27</v>
      </c>
      <c r="K19" s="46">
        <v>0</v>
      </c>
    </row>
    <row r="20" spans="1:11" x14ac:dyDescent="0.25">
      <c r="A20" s="11"/>
      <c r="B20" s="45"/>
      <c r="C20" s="44"/>
      <c r="D20" s="26">
        <v>0.63</v>
      </c>
      <c r="E20" s="13" t="s">
        <v>113</v>
      </c>
      <c r="F20" s="40">
        <f t="shared" si="0"/>
        <v>0.63</v>
      </c>
      <c r="G20" s="45"/>
      <c r="H20" s="45"/>
      <c r="I20" s="13" t="s">
        <v>113</v>
      </c>
      <c r="J20" s="26">
        <v>0.63</v>
      </c>
      <c r="K20" s="46">
        <v>0</v>
      </c>
    </row>
    <row r="21" spans="1:11" ht="30" x14ac:dyDescent="0.25">
      <c r="A21" s="11"/>
      <c r="B21" s="45"/>
      <c r="C21" s="44"/>
      <c r="D21" s="26">
        <v>1.1399999999999999</v>
      </c>
      <c r="E21" s="13" t="s">
        <v>28</v>
      </c>
      <c r="F21" s="40">
        <f t="shared" si="0"/>
        <v>1.1399999999999999</v>
      </c>
      <c r="G21" s="45"/>
      <c r="H21" s="45"/>
      <c r="I21" s="13" t="s">
        <v>28</v>
      </c>
      <c r="J21" s="26">
        <v>1.1399999999999999</v>
      </c>
      <c r="K21" s="46">
        <v>0</v>
      </c>
    </row>
    <row r="22" spans="1:11" x14ac:dyDescent="0.25">
      <c r="A22" s="11"/>
      <c r="B22" s="45"/>
      <c r="C22" s="44"/>
      <c r="D22" s="26">
        <v>1.165</v>
      </c>
      <c r="E22" s="13" t="s">
        <v>29</v>
      </c>
      <c r="F22" s="40">
        <f t="shared" si="0"/>
        <v>1.165</v>
      </c>
      <c r="G22" s="45"/>
      <c r="H22" s="45"/>
      <c r="I22" s="13" t="s">
        <v>29</v>
      </c>
      <c r="J22" s="26">
        <v>1.165</v>
      </c>
      <c r="K22" s="46">
        <v>0</v>
      </c>
    </row>
    <row r="23" spans="1:11" x14ac:dyDescent="0.25">
      <c r="A23" s="11"/>
      <c r="B23" s="45"/>
      <c r="C23" s="44"/>
      <c r="D23" s="26">
        <v>2.4540000000000002</v>
      </c>
      <c r="E23" s="13" t="s">
        <v>30</v>
      </c>
      <c r="F23" s="40">
        <f t="shared" si="0"/>
        <v>2.4540000000000002</v>
      </c>
      <c r="G23" s="45"/>
      <c r="H23" s="45"/>
      <c r="I23" s="13" t="s">
        <v>30</v>
      </c>
      <c r="J23" s="26">
        <v>2.4540000000000002</v>
      </c>
      <c r="K23" s="46">
        <v>0</v>
      </c>
    </row>
    <row r="24" spans="1:11" x14ac:dyDescent="0.25">
      <c r="A24" s="11"/>
      <c r="B24" s="45"/>
      <c r="C24" s="45"/>
      <c r="D24" s="47">
        <v>0.19</v>
      </c>
      <c r="E24" s="48" t="s">
        <v>31</v>
      </c>
      <c r="F24" s="40">
        <f t="shared" si="0"/>
        <v>0.19</v>
      </c>
      <c r="G24" s="45"/>
      <c r="H24" s="45"/>
      <c r="I24" s="49" t="s">
        <v>31</v>
      </c>
      <c r="J24" s="47">
        <v>0.19</v>
      </c>
      <c r="K24" s="46">
        <v>0</v>
      </c>
    </row>
    <row r="25" spans="1:11" x14ac:dyDescent="0.25">
      <c r="A25" s="11"/>
      <c r="B25" s="45"/>
      <c r="C25" s="45"/>
      <c r="D25" s="50">
        <v>0.19</v>
      </c>
      <c r="E25" s="45" t="s">
        <v>32</v>
      </c>
      <c r="F25" s="40">
        <f t="shared" si="0"/>
        <v>0.19</v>
      </c>
      <c r="G25" s="45"/>
      <c r="H25" s="45"/>
      <c r="I25" s="51" t="s">
        <v>32</v>
      </c>
      <c r="J25" s="50">
        <v>0.19</v>
      </c>
      <c r="K25" s="46">
        <v>0</v>
      </c>
    </row>
    <row r="26" spans="1:11" ht="36" customHeight="1" x14ac:dyDescent="0.3">
      <c r="A26" s="11"/>
      <c r="B26" s="52" t="s">
        <v>33</v>
      </c>
      <c r="C26" s="45"/>
      <c r="D26" s="50">
        <v>2.2000000000000002</v>
      </c>
      <c r="E26" s="53" t="s">
        <v>34</v>
      </c>
      <c r="F26" s="40">
        <f t="shared" si="0"/>
        <v>2.2000000000000002</v>
      </c>
      <c r="G26" s="45"/>
      <c r="H26" s="53"/>
      <c r="I26" s="54" t="s">
        <v>34</v>
      </c>
      <c r="J26" s="46">
        <v>2.2000000000000002</v>
      </c>
      <c r="K26" s="46">
        <v>0</v>
      </c>
    </row>
    <row r="27" spans="1:11" ht="29.25" customHeight="1" x14ac:dyDescent="0.25">
      <c r="A27" s="11"/>
      <c r="B27" s="45"/>
      <c r="C27" s="45"/>
      <c r="D27" s="50">
        <v>2</v>
      </c>
      <c r="E27" s="53" t="s">
        <v>34</v>
      </c>
      <c r="F27" s="40">
        <f t="shared" si="0"/>
        <v>2</v>
      </c>
      <c r="G27" s="45"/>
      <c r="H27" s="45"/>
      <c r="I27" s="54" t="s">
        <v>34</v>
      </c>
      <c r="J27" s="46">
        <v>2</v>
      </c>
      <c r="K27" s="46">
        <v>0</v>
      </c>
    </row>
    <row r="28" spans="1:11" ht="46.5" customHeight="1" x14ac:dyDescent="0.25">
      <c r="A28" s="11"/>
      <c r="B28" s="45"/>
      <c r="C28" s="45"/>
      <c r="D28" s="50">
        <v>0.69499999999999995</v>
      </c>
      <c r="E28" s="55" t="s">
        <v>118</v>
      </c>
      <c r="F28" s="40">
        <f t="shared" si="0"/>
        <v>0.69499999999999995</v>
      </c>
      <c r="G28" s="45"/>
      <c r="H28" s="45"/>
      <c r="I28" s="55" t="s">
        <v>118</v>
      </c>
      <c r="J28" s="50">
        <v>0.69499999999999995</v>
      </c>
      <c r="K28" s="46">
        <v>0</v>
      </c>
    </row>
    <row r="29" spans="1:11" ht="30.75" customHeight="1" x14ac:dyDescent="0.25">
      <c r="A29" s="11"/>
      <c r="B29" s="45"/>
      <c r="C29" s="45"/>
      <c r="D29" s="50">
        <f>0.3+0.3</f>
        <v>0.6</v>
      </c>
      <c r="E29" s="55" t="s">
        <v>119</v>
      </c>
      <c r="F29" s="40">
        <f t="shared" si="0"/>
        <v>0.6</v>
      </c>
      <c r="G29" s="45"/>
      <c r="H29" s="45"/>
      <c r="I29" s="56" t="s">
        <v>35</v>
      </c>
      <c r="J29" s="46">
        <f>0.3+0.3</f>
        <v>0.6</v>
      </c>
      <c r="K29" s="46">
        <v>0</v>
      </c>
    </row>
    <row r="30" spans="1:11" x14ac:dyDescent="0.25">
      <c r="A30" s="11"/>
      <c r="B30" s="45"/>
      <c r="C30" s="45"/>
      <c r="D30" s="50">
        <f>0.14+0.14</f>
        <v>0.28000000000000003</v>
      </c>
      <c r="E30" s="45" t="s">
        <v>24</v>
      </c>
      <c r="F30" s="40">
        <f t="shared" si="0"/>
        <v>0.28000000000000003</v>
      </c>
      <c r="G30" s="45"/>
      <c r="H30" s="45"/>
      <c r="I30" s="51" t="s">
        <v>24</v>
      </c>
      <c r="J30" s="50">
        <f>0.14+0.14</f>
        <v>0.28000000000000003</v>
      </c>
      <c r="K30" s="46">
        <v>0</v>
      </c>
    </row>
    <row r="31" spans="1:11" x14ac:dyDescent="0.25">
      <c r="A31" s="11"/>
      <c r="B31" s="45"/>
      <c r="C31" s="45"/>
      <c r="D31" s="50">
        <f>1.462</f>
        <v>1.462</v>
      </c>
      <c r="E31" s="45" t="s">
        <v>36</v>
      </c>
      <c r="F31" s="40">
        <f t="shared" si="0"/>
        <v>1.462</v>
      </c>
      <c r="G31" s="45"/>
      <c r="H31" s="45"/>
      <c r="I31" s="51" t="s">
        <v>36</v>
      </c>
      <c r="J31" s="50">
        <f>1.462</f>
        <v>1.462</v>
      </c>
      <c r="K31" s="46">
        <v>0</v>
      </c>
    </row>
    <row r="32" spans="1:11" ht="15.75" customHeight="1" x14ac:dyDescent="0.25">
      <c r="A32" s="11"/>
      <c r="B32" s="45"/>
      <c r="C32" s="45"/>
      <c r="D32" s="50">
        <f>4.154*2</f>
        <v>8.3079999999999998</v>
      </c>
      <c r="E32" s="55" t="s">
        <v>37</v>
      </c>
      <c r="F32" s="40">
        <f t="shared" si="0"/>
        <v>8.3079999999999998</v>
      </c>
      <c r="G32" s="45"/>
      <c r="H32" s="45"/>
      <c r="I32" s="56" t="s">
        <v>37</v>
      </c>
      <c r="J32" s="50">
        <f>4.154*2</f>
        <v>8.3079999999999998</v>
      </c>
      <c r="K32" s="46">
        <v>0</v>
      </c>
    </row>
    <row r="33" spans="1:11" ht="55.5" customHeight="1" x14ac:dyDescent="0.25">
      <c r="A33" s="11"/>
      <c r="B33" s="45"/>
      <c r="C33" s="45"/>
      <c r="D33" s="50">
        <f>20.78</f>
        <v>20.78</v>
      </c>
      <c r="E33" s="13" t="s">
        <v>23</v>
      </c>
      <c r="F33" s="40">
        <f t="shared" si="0"/>
        <v>20.78</v>
      </c>
      <c r="G33" s="45"/>
      <c r="H33" s="45"/>
      <c r="I33" s="13" t="s">
        <v>23</v>
      </c>
      <c r="J33" s="50">
        <f>20.78</f>
        <v>20.78</v>
      </c>
      <c r="K33" s="46">
        <v>0</v>
      </c>
    </row>
    <row r="34" spans="1:11" ht="32.25" customHeight="1" x14ac:dyDescent="0.25">
      <c r="A34" s="11"/>
      <c r="B34" s="45"/>
      <c r="C34" s="45"/>
      <c r="D34" s="50">
        <v>0.6</v>
      </c>
      <c r="E34" s="13" t="s">
        <v>38</v>
      </c>
      <c r="F34" s="40">
        <f t="shared" si="0"/>
        <v>0.6</v>
      </c>
      <c r="G34" s="45"/>
      <c r="H34" s="45"/>
      <c r="I34" s="13" t="s">
        <v>38</v>
      </c>
      <c r="J34" s="50">
        <v>0.6</v>
      </c>
      <c r="K34" s="46">
        <v>0</v>
      </c>
    </row>
    <row r="35" spans="1:11" ht="13.5" customHeight="1" x14ac:dyDescent="0.25">
      <c r="A35" s="11"/>
      <c r="B35" s="45"/>
      <c r="C35" s="45"/>
      <c r="D35" s="50">
        <v>0.25</v>
      </c>
      <c r="E35" s="13" t="s">
        <v>39</v>
      </c>
      <c r="F35" s="40">
        <f t="shared" si="0"/>
        <v>0.25</v>
      </c>
      <c r="G35" s="45"/>
      <c r="H35" s="45"/>
      <c r="I35" s="13" t="s">
        <v>39</v>
      </c>
      <c r="J35" s="50">
        <v>0.25</v>
      </c>
      <c r="K35" s="46">
        <v>0</v>
      </c>
    </row>
    <row r="36" spans="1:11" ht="35.25" customHeight="1" x14ac:dyDescent="0.25">
      <c r="A36" s="11"/>
      <c r="B36" s="45"/>
      <c r="C36" s="45"/>
      <c r="D36" s="50">
        <f>0.285+0.27</f>
        <v>0.55499999999999994</v>
      </c>
      <c r="E36" s="13" t="s">
        <v>40</v>
      </c>
      <c r="F36" s="40">
        <f t="shared" si="0"/>
        <v>0.55499999999999994</v>
      </c>
      <c r="G36" s="45"/>
      <c r="H36" s="45"/>
      <c r="I36" s="13" t="s">
        <v>40</v>
      </c>
      <c r="J36" s="46">
        <f>0.285+0.27</f>
        <v>0.55499999999999994</v>
      </c>
      <c r="K36" s="46">
        <v>0</v>
      </c>
    </row>
    <row r="37" spans="1:11" ht="35.25" customHeight="1" x14ac:dyDescent="0.25">
      <c r="A37" s="11"/>
      <c r="B37" s="45"/>
      <c r="C37" s="45"/>
      <c r="D37" s="50">
        <f>0.27+0.285</f>
        <v>0.55499999999999994</v>
      </c>
      <c r="E37" s="14" t="s">
        <v>27</v>
      </c>
      <c r="F37" s="40">
        <f t="shared" si="0"/>
        <v>0.55499999999999994</v>
      </c>
      <c r="G37" s="45"/>
      <c r="H37" s="45"/>
      <c r="I37" s="14" t="s">
        <v>27</v>
      </c>
      <c r="J37" s="50">
        <f>0.27+0.285</f>
        <v>0.55499999999999994</v>
      </c>
      <c r="K37" s="46">
        <v>0</v>
      </c>
    </row>
    <row r="38" spans="1:11" x14ac:dyDescent="0.25">
      <c r="A38" s="11"/>
      <c r="B38" s="45"/>
      <c r="C38" s="45"/>
      <c r="D38" s="50">
        <v>1.1359999999999999</v>
      </c>
      <c r="E38" s="13" t="s">
        <v>41</v>
      </c>
      <c r="F38" s="40">
        <f t="shared" si="0"/>
        <v>1.1359999999999999</v>
      </c>
      <c r="G38" s="45"/>
      <c r="H38" s="45"/>
      <c r="I38" s="13" t="s">
        <v>41</v>
      </c>
      <c r="J38" s="50">
        <v>1.1359999999999999</v>
      </c>
      <c r="K38" s="46">
        <v>0</v>
      </c>
    </row>
    <row r="39" spans="1:11" ht="33" customHeight="1" x14ac:dyDescent="0.25">
      <c r="A39" s="11"/>
      <c r="B39" s="45"/>
      <c r="C39" s="45"/>
      <c r="D39" s="50">
        <v>1.28</v>
      </c>
      <c r="E39" s="13" t="s">
        <v>42</v>
      </c>
      <c r="F39" s="40">
        <f t="shared" si="0"/>
        <v>1.28</v>
      </c>
      <c r="G39" s="45"/>
      <c r="H39" s="45"/>
      <c r="I39" s="13" t="s">
        <v>42</v>
      </c>
      <c r="J39" s="50">
        <v>1.28</v>
      </c>
      <c r="K39" s="46">
        <v>0</v>
      </c>
    </row>
    <row r="40" spans="1:11" ht="31.5" customHeight="1" x14ac:dyDescent="0.25">
      <c r="A40" s="11"/>
      <c r="B40" s="45"/>
      <c r="C40" s="45"/>
      <c r="D40" s="50">
        <v>1.1399999999999999</v>
      </c>
      <c r="E40" s="13" t="s">
        <v>28</v>
      </c>
      <c r="F40" s="40">
        <f t="shared" si="0"/>
        <v>1.1399999999999999</v>
      </c>
      <c r="G40" s="45"/>
      <c r="H40" s="45"/>
      <c r="I40" s="13" t="s">
        <v>28</v>
      </c>
      <c r="J40" s="50">
        <v>1.1399999999999999</v>
      </c>
      <c r="K40" s="46">
        <v>0</v>
      </c>
    </row>
    <row r="41" spans="1:11" ht="21" customHeight="1" x14ac:dyDescent="0.25">
      <c r="A41" s="11"/>
      <c r="B41" s="45"/>
      <c r="C41" s="45"/>
      <c r="D41" s="50">
        <v>2.75</v>
      </c>
      <c r="E41" s="13" t="s">
        <v>43</v>
      </c>
      <c r="F41" s="40">
        <f t="shared" si="0"/>
        <v>2.75</v>
      </c>
      <c r="G41" s="45"/>
      <c r="H41" s="45"/>
      <c r="I41" s="13" t="s">
        <v>43</v>
      </c>
      <c r="J41" s="50">
        <v>2.75</v>
      </c>
      <c r="K41" s="46">
        <v>0</v>
      </c>
    </row>
    <row r="42" spans="1:11" ht="29.25" customHeight="1" x14ac:dyDescent="0.25">
      <c r="A42" s="11"/>
      <c r="B42" s="45"/>
      <c r="C42" s="45"/>
      <c r="D42" s="50">
        <v>2.33</v>
      </c>
      <c r="E42" s="55" t="s">
        <v>44</v>
      </c>
      <c r="F42" s="40">
        <f t="shared" si="0"/>
        <v>2.33</v>
      </c>
      <c r="G42" s="45"/>
      <c r="H42" s="45"/>
      <c r="I42" s="56" t="s">
        <v>44</v>
      </c>
      <c r="J42" s="50">
        <v>2.33</v>
      </c>
      <c r="K42" s="46">
        <v>0</v>
      </c>
    </row>
    <row r="43" spans="1:11" ht="54" customHeight="1" x14ac:dyDescent="0.3">
      <c r="A43" s="11"/>
      <c r="B43" s="52" t="s">
        <v>45</v>
      </c>
      <c r="C43" s="45"/>
      <c r="D43" s="57">
        <v>26.299499999999998</v>
      </c>
      <c r="E43" s="55" t="s">
        <v>46</v>
      </c>
      <c r="F43" s="43">
        <f t="shared" si="0"/>
        <v>26.299499999999998</v>
      </c>
      <c r="G43" s="45"/>
      <c r="H43" s="45"/>
      <c r="I43" s="56" t="s">
        <v>46</v>
      </c>
      <c r="J43" s="57">
        <v>26.299499999999998</v>
      </c>
      <c r="K43" s="16">
        <v>0</v>
      </c>
    </row>
    <row r="44" spans="1:11" ht="75" x14ac:dyDescent="0.3">
      <c r="A44" s="11"/>
      <c r="B44" s="52" t="s">
        <v>47</v>
      </c>
      <c r="C44" s="45"/>
      <c r="D44" s="50">
        <f>3.00392+2.83785+2.88258</f>
        <v>8.7243500000000012</v>
      </c>
      <c r="E44" s="55" t="s">
        <v>51</v>
      </c>
      <c r="F44" s="40">
        <f t="shared" si="0"/>
        <v>8.7243500000000012</v>
      </c>
      <c r="G44" s="45"/>
      <c r="H44" s="58"/>
      <c r="I44" s="56" t="s">
        <v>51</v>
      </c>
      <c r="J44" s="46">
        <f>3.00392+2.59432</f>
        <v>5.5982400000000005</v>
      </c>
      <c r="K44" s="46">
        <f>2.83785+0.28826</f>
        <v>3.1261100000000002</v>
      </c>
    </row>
    <row r="45" spans="1:11" x14ac:dyDescent="0.25">
      <c r="A45" s="11"/>
      <c r="B45" s="55"/>
      <c r="C45" s="45"/>
      <c r="D45" s="50">
        <v>2.4099999999999998E-3</v>
      </c>
      <c r="E45" s="55" t="s">
        <v>52</v>
      </c>
      <c r="F45" s="40">
        <f t="shared" si="0"/>
        <v>2.4099999999999998E-3</v>
      </c>
      <c r="G45" s="45"/>
      <c r="H45" s="58"/>
      <c r="I45" s="56" t="s">
        <v>52</v>
      </c>
      <c r="J45" s="46">
        <v>0</v>
      </c>
      <c r="K45" s="50">
        <v>2.4099999999999998E-3</v>
      </c>
    </row>
    <row r="46" spans="1:11" x14ac:dyDescent="0.25">
      <c r="A46" s="11"/>
      <c r="B46" s="55"/>
      <c r="C46" s="45"/>
      <c r="D46" s="50">
        <v>3.739E-2</v>
      </c>
      <c r="E46" s="55" t="s">
        <v>53</v>
      </c>
      <c r="F46" s="40">
        <f t="shared" si="0"/>
        <v>3.739E-2</v>
      </c>
      <c r="G46" s="45"/>
      <c r="H46" s="58"/>
      <c r="I46" s="56" t="s">
        <v>53</v>
      </c>
      <c r="J46" s="46">
        <f>0.03552</f>
        <v>3.5520000000000003E-2</v>
      </c>
      <c r="K46" s="46">
        <f>0.00187</f>
        <v>1.8699999999999999E-3</v>
      </c>
    </row>
    <row r="47" spans="1:11" ht="17.25" customHeight="1" x14ac:dyDescent="0.25">
      <c r="A47" s="11"/>
      <c r="B47" s="55"/>
      <c r="C47" s="45"/>
      <c r="D47" s="59">
        <v>1.917E-2</v>
      </c>
      <c r="E47" s="55" t="s">
        <v>107</v>
      </c>
      <c r="F47" s="40">
        <f t="shared" si="0"/>
        <v>1.917E-2</v>
      </c>
      <c r="G47" s="45"/>
      <c r="H47" s="58"/>
      <c r="I47" s="56" t="s">
        <v>107</v>
      </c>
      <c r="J47" s="59">
        <v>1.917E-2</v>
      </c>
      <c r="K47" s="46">
        <v>0</v>
      </c>
    </row>
    <row r="48" spans="1:11" ht="15.75" x14ac:dyDescent="0.25">
      <c r="A48" s="11"/>
      <c r="B48" s="55"/>
      <c r="C48" s="45"/>
      <c r="D48" s="59">
        <v>5.1700000000000003E-2</v>
      </c>
      <c r="E48" s="55" t="s">
        <v>54</v>
      </c>
      <c r="F48" s="40">
        <f t="shared" si="0"/>
        <v>5.1700000000000003E-2</v>
      </c>
      <c r="G48" s="45"/>
      <c r="H48" s="58"/>
      <c r="I48" s="56" t="s">
        <v>54</v>
      </c>
      <c r="J48" s="59">
        <v>5.1700000000000003E-2</v>
      </c>
      <c r="K48" s="46">
        <v>0</v>
      </c>
    </row>
    <row r="49" spans="1:11" ht="17.25" customHeight="1" x14ac:dyDescent="0.25">
      <c r="A49" s="11"/>
      <c r="B49" s="55"/>
      <c r="C49" s="45"/>
      <c r="D49" s="59">
        <f>0.24516+0.26711+0.24289</f>
        <v>0.75516000000000005</v>
      </c>
      <c r="E49" s="55" t="s">
        <v>55</v>
      </c>
      <c r="F49" s="40">
        <f t="shared" si="0"/>
        <v>0.75516000000000005</v>
      </c>
      <c r="G49" s="45"/>
      <c r="H49" s="58"/>
      <c r="I49" s="56" t="s">
        <v>55</v>
      </c>
      <c r="J49" s="46">
        <f>0.24516+0.26711+0.12145</f>
        <v>0.63372000000000006</v>
      </c>
      <c r="K49" s="46">
        <f>0.12144</f>
        <v>0.12144000000000001</v>
      </c>
    </row>
    <row r="50" spans="1:11" ht="15.75" x14ac:dyDescent="0.25">
      <c r="A50" s="11"/>
      <c r="B50" s="55"/>
      <c r="C50" s="45"/>
      <c r="D50" s="59">
        <f>0.8294</f>
        <v>0.82940000000000003</v>
      </c>
      <c r="E50" s="55" t="s">
        <v>56</v>
      </c>
      <c r="F50" s="40">
        <f t="shared" si="0"/>
        <v>0.82940000000000003</v>
      </c>
      <c r="G50" s="45"/>
      <c r="H50" s="58"/>
      <c r="I50" s="56" t="s">
        <v>56</v>
      </c>
      <c r="J50" s="46">
        <f>0.26158</f>
        <v>0.26157999999999998</v>
      </c>
      <c r="K50" s="46">
        <f>0.56782</f>
        <v>0.56781999999999999</v>
      </c>
    </row>
    <row r="51" spans="1:11" ht="17.25" customHeight="1" x14ac:dyDescent="0.25">
      <c r="A51" s="11"/>
      <c r="B51" s="55"/>
      <c r="C51" s="45"/>
      <c r="D51" s="59">
        <f>0.68266+0.62616+1.87853</f>
        <v>3.1873500000000003</v>
      </c>
      <c r="E51" s="55" t="s">
        <v>57</v>
      </c>
      <c r="F51" s="40">
        <f t="shared" si="0"/>
        <v>3.1873500000000003</v>
      </c>
      <c r="G51" s="45"/>
      <c r="H51" s="58"/>
      <c r="I51" s="56" t="s">
        <v>57</v>
      </c>
      <c r="J51" s="46">
        <f>0.68266+0.62616+0.06262</f>
        <v>1.37144</v>
      </c>
      <c r="K51" s="46">
        <v>1.8159099999999999</v>
      </c>
    </row>
    <row r="52" spans="1:11" ht="15.75" x14ac:dyDescent="0.25">
      <c r="A52" s="11"/>
      <c r="B52" s="55"/>
      <c r="C52" s="45"/>
      <c r="D52" s="59">
        <v>0.51400000000000001</v>
      </c>
      <c r="E52" s="55" t="s">
        <v>108</v>
      </c>
      <c r="F52" s="40">
        <f t="shared" si="0"/>
        <v>0.51400000000000001</v>
      </c>
      <c r="G52" s="45"/>
      <c r="H52" s="58"/>
      <c r="I52" s="56" t="s">
        <v>108</v>
      </c>
      <c r="J52" s="46">
        <f>0.257</f>
        <v>0.25700000000000001</v>
      </c>
      <c r="K52" s="46">
        <f>0.257</f>
        <v>0.25700000000000001</v>
      </c>
    </row>
    <row r="53" spans="1:11" ht="13.5" customHeight="1" x14ac:dyDescent="0.25">
      <c r="A53" s="11"/>
      <c r="B53" s="55"/>
      <c r="C53" s="45"/>
      <c r="D53" s="59">
        <v>1.3168500000000001</v>
      </c>
      <c r="E53" s="55" t="s">
        <v>58</v>
      </c>
      <c r="F53" s="40">
        <f t="shared" si="0"/>
        <v>1.3168500000000001</v>
      </c>
      <c r="G53" s="45"/>
      <c r="H53" s="58"/>
      <c r="I53" s="56" t="s">
        <v>58</v>
      </c>
      <c r="J53" s="46">
        <v>0</v>
      </c>
      <c r="K53" s="59">
        <v>1.3168500000000001</v>
      </c>
    </row>
    <row r="54" spans="1:11" ht="16.5" customHeight="1" x14ac:dyDescent="0.25">
      <c r="A54" s="11"/>
      <c r="B54" s="55"/>
      <c r="C54" s="45"/>
      <c r="D54" s="50">
        <v>0.88980000000000004</v>
      </c>
      <c r="E54" s="55" t="s">
        <v>59</v>
      </c>
      <c r="F54" s="40">
        <f t="shared" si="0"/>
        <v>0.88980000000000004</v>
      </c>
      <c r="G54" s="45"/>
      <c r="H54" s="58"/>
      <c r="I54" s="56" t="s">
        <v>59</v>
      </c>
      <c r="J54" s="46">
        <v>5.9319999999999998E-2</v>
      </c>
      <c r="K54" s="46">
        <f>0.83048</f>
        <v>0.83048</v>
      </c>
    </row>
    <row r="55" spans="1:11" ht="14.25" customHeight="1" x14ac:dyDescent="0.25">
      <c r="A55" s="11"/>
      <c r="B55" s="55"/>
      <c r="C55" s="45"/>
      <c r="D55" s="59">
        <f>0.11771+0.0749</f>
        <v>0.19261</v>
      </c>
      <c r="E55" s="55" t="s">
        <v>109</v>
      </c>
      <c r="F55" s="40">
        <f t="shared" si="0"/>
        <v>0.19261</v>
      </c>
      <c r="G55" s="45"/>
      <c r="H55" s="58"/>
      <c r="I55" s="56" t="s">
        <v>109</v>
      </c>
      <c r="J55" s="59">
        <f>0.11771+0.0749</f>
        <v>0.19261</v>
      </c>
      <c r="K55" s="46">
        <v>0</v>
      </c>
    </row>
    <row r="56" spans="1:11" ht="15" customHeight="1" x14ac:dyDescent="0.25">
      <c r="A56" s="11"/>
      <c r="B56" s="55"/>
      <c r="C56" s="45"/>
      <c r="D56" s="59">
        <f>0.0737+0.07486+0.98986+0.03296</f>
        <v>1.1713800000000001</v>
      </c>
      <c r="E56" s="55" t="s">
        <v>60</v>
      </c>
      <c r="F56" s="40">
        <f t="shared" si="0"/>
        <v>1.1713800000000001</v>
      </c>
      <c r="G56" s="45"/>
      <c r="H56" s="58"/>
      <c r="I56" s="56" t="s">
        <v>60</v>
      </c>
      <c r="J56" s="46">
        <f>2.1018+0.01483-1.73853</f>
        <v>0.37809999999999988</v>
      </c>
      <c r="K56" s="46">
        <f>0.77515+0.01813</f>
        <v>0.79327999999999999</v>
      </c>
    </row>
    <row r="57" spans="1:11" ht="14.25" customHeight="1" x14ac:dyDescent="0.25">
      <c r="A57" s="11"/>
      <c r="B57" s="55"/>
      <c r="C57" s="45"/>
      <c r="D57" s="59">
        <f>0.02842</f>
        <v>2.8420000000000001E-2</v>
      </c>
      <c r="E57" s="55" t="s">
        <v>61</v>
      </c>
      <c r="F57" s="40">
        <f t="shared" si="0"/>
        <v>2.8420000000000001E-2</v>
      </c>
      <c r="G57" s="45"/>
      <c r="H57" s="58"/>
      <c r="I57" s="56" t="s">
        <v>61</v>
      </c>
      <c r="J57" s="46">
        <f>0.01421</f>
        <v>1.421E-2</v>
      </c>
      <c r="K57" s="46">
        <f>0.01421</f>
        <v>1.421E-2</v>
      </c>
    </row>
    <row r="58" spans="1:11" ht="14.25" customHeight="1" x14ac:dyDescent="0.25">
      <c r="A58" s="11"/>
      <c r="B58" s="55"/>
      <c r="C58" s="45"/>
      <c r="D58" s="59">
        <f>0.01864</f>
        <v>1.864E-2</v>
      </c>
      <c r="E58" s="55" t="s">
        <v>62</v>
      </c>
      <c r="F58" s="40">
        <f t="shared" si="0"/>
        <v>1.864E-2</v>
      </c>
      <c r="G58" s="45"/>
      <c r="H58" s="58"/>
      <c r="I58" s="56" t="s">
        <v>62</v>
      </c>
      <c r="J58" s="59">
        <f>0.01864</f>
        <v>1.864E-2</v>
      </c>
      <c r="K58" s="46">
        <v>0</v>
      </c>
    </row>
    <row r="59" spans="1:11" ht="15.75" x14ac:dyDescent="0.25">
      <c r="A59" s="11"/>
      <c r="B59" s="55"/>
      <c r="C59" s="45"/>
      <c r="D59" s="59">
        <v>0.34721000000000002</v>
      </c>
      <c r="E59" s="55" t="s">
        <v>63</v>
      </c>
      <c r="F59" s="40">
        <f t="shared" si="0"/>
        <v>0.34721000000000002</v>
      </c>
      <c r="G59" s="45"/>
      <c r="H59" s="58"/>
      <c r="I59" s="56" t="s">
        <v>63</v>
      </c>
      <c r="J59" s="59">
        <v>0.34721000000000002</v>
      </c>
      <c r="K59" s="46">
        <v>0</v>
      </c>
    </row>
    <row r="60" spans="1:11" ht="15.75" customHeight="1" x14ac:dyDescent="0.25">
      <c r="A60" s="11"/>
      <c r="B60" s="55"/>
      <c r="C60" s="45"/>
      <c r="D60" s="59">
        <f>0.07881+0.47283</f>
        <v>0.55164000000000002</v>
      </c>
      <c r="E60" s="55" t="s">
        <v>64</v>
      </c>
      <c r="F60" s="40">
        <f t="shared" si="0"/>
        <v>0.55164000000000002</v>
      </c>
      <c r="G60" s="45"/>
      <c r="H60" s="58"/>
      <c r="I60" s="56" t="s">
        <v>64</v>
      </c>
      <c r="J60" s="46">
        <f>0.51223</f>
        <v>0.51222999999999996</v>
      </c>
      <c r="K60" s="46">
        <v>3.9410000000000001E-2</v>
      </c>
    </row>
    <row r="61" spans="1:11" ht="13.5" customHeight="1" x14ac:dyDescent="0.25">
      <c r="A61" s="11"/>
      <c r="B61" s="55"/>
      <c r="C61" s="45"/>
      <c r="D61" s="59">
        <v>0.35499999999999998</v>
      </c>
      <c r="E61" s="55" t="s">
        <v>65</v>
      </c>
      <c r="F61" s="40">
        <f t="shared" si="0"/>
        <v>0.35499999999999998</v>
      </c>
      <c r="G61" s="45"/>
      <c r="H61" s="58"/>
      <c r="I61" s="56" t="s">
        <v>65</v>
      </c>
      <c r="J61" s="46">
        <v>0</v>
      </c>
      <c r="K61" s="59">
        <v>0.35499999999999998</v>
      </c>
    </row>
    <row r="62" spans="1:11" ht="15.75" x14ac:dyDescent="0.25">
      <c r="A62" s="11"/>
      <c r="B62" s="55"/>
      <c r="C62" s="45"/>
      <c r="D62" s="59">
        <f>0.20965</f>
        <v>0.20965</v>
      </c>
      <c r="E62" s="55" t="s">
        <v>66</v>
      </c>
      <c r="F62" s="40">
        <f t="shared" si="0"/>
        <v>0.20965</v>
      </c>
      <c r="G62" s="45"/>
      <c r="H62" s="58"/>
      <c r="I62" s="56" t="s">
        <v>66</v>
      </c>
      <c r="J62" s="46">
        <v>0</v>
      </c>
      <c r="K62" s="59">
        <f>0.20965</f>
        <v>0.20965</v>
      </c>
    </row>
    <row r="63" spans="1:11" ht="13.5" customHeight="1" x14ac:dyDescent="0.25">
      <c r="A63" s="11"/>
      <c r="B63" s="55"/>
      <c r="C63" s="45"/>
      <c r="D63" s="59">
        <f>0.20143</f>
        <v>0.20143</v>
      </c>
      <c r="E63" s="55" t="s">
        <v>67</v>
      </c>
      <c r="F63" s="40">
        <f t="shared" si="0"/>
        <v>0.20143</v>
      </c>
      <c r="G63" s="45"/>
      <c r="H63" s="58"/>
      <c r="I63" s="56" t="s">
        <v>67</v>
      </c>
      <c r="J63" s="59">
        <v>0</v>
      </c>
      <c r="K63" s="59">
        <f>0.20143</f>
        <v>0.20143</v>
      </c>
    </row>
    <row r="64" spans="1:11" ht="15.75" customHeight="1" x14ac:dyDescent="0.25">
      <c r="A64" s="11"/>
      <c r="B64" s="55"/>
      <c r="C64" s="45"/>
      <c r="D64" s="59">
        <f>1.2835</f>
        <v>1.2835000000000001</v>
      </c>
      <c r="E64" s="55" t="s">
        <v>68</v>
      </c>
      <c r="F64" s="40">
        <f t="shared" si="0"/>
        <v>1.2835000000000001</v>
      </c>
      <c r="G64" s="45"/>
      <c r="H64" s="58"/>
      <c r="I64" s="56" t="s">
        <v>68</v>
      </c>
      <c r="J64" s="46">
        <f>0.64175</f>
        <v>0.64175000000000004</v>
      </c>
      <c r="K64" s="46">
        <f>0.64175</f>
        <v>0.64175000000000004</v>
      </c>
    </row>
    <row r="65" spans="1:11" ht="16.5" customHeight="1" x14ac:dyDescent="0.25">
      <c r="A65" s="11"/>
      <c r="B65" s="55"/>
      <c r="C65" s="45"/>
      <c r="D65" s="59">
        <f>0.59265+0.01943+0.19319</f>
        <v>0.80526999999999993</v>
      </c>
      <c r="E65" s="55" t="s">
        <v>69</v>
      </c>
      <c r="F65" s="40">
        <f t="shared" si="0"/>
        <v>0.80526999999999993</v>
      </c>
      <c r="G65" s="45"/>
      <c r="H65" s="58"/>
      <c r="I65" s="56" t="s">
        <v>69</v>
      </c>
      <c r="J65" s="46">
        <f>0.42736</f>
        <v>0.42736000000000002</v>
      </c>
      <c r="K65" s="46">
        <f>0.37791</f>
        <v>0.37791000000000002</v>
      </c>
    </row>
    <row r="66" spans="1:11" ht="15.75" x14ac:dyDescent="0.25">
      <c r="A66" s="11"/>
      <c r="B66" s="55"/>
      <c r="C66" s="45"/>
      <c r="D66" s="59">
        <f>0.15089+0.294</f>
        <v>0.44489000000000001</v>
      </c>
      <c r="E66" s="55" t="s">
        <v>70</v>
      </c>
      <c r="F66" s="40">
        <f t="shared" si="0"/>
        <v>0.44489000000000001</v>
      </c>
      <c r="G66" s="45"/>
      <c r="H66" s="58"/>
      <c r="I66" s="56" t="s">
        <v>70</v>
      </c>
      <c r="J66" s="46">
        <f>0.33737</f>
        <v>0.33737</v>
      </c>
      <c r="K66" s="46">
        <f>0.10752</f>
        <v>0.10752</v>
      </c>
    </row>
    <row r="67" spans="1:11" ht="17.25" customHeight="1" x14ac:dyDescent="0.25">
      <c r="A67" s="11"/>
      <c r="B67" s="55"/>
      <c r="C67" s="45"/>
      <c r="D67" s="59">
        <f>0.24717</f>
        <v>0.24717</v>
      </c>
      <c r="E67" s="55" t="s">
        <v>71</v>
      </c>
      <c r="F67" s="40">
        <f t="shared" si="0"/>
        <v>0.24717</v>
      </c>
      <c r="G67" s="45"/>
      <c r="H67" s="58"/>
      <c r="I67" s="56" t="s">
        <v>71</v>
      </c>
      <c r="J67" s="46">
        <v>0</v>
      </c>
      <c r="K67" s="59">
        <f>0.24717</f>
        <v>0.24717</v>
      </c>
    </row>
    <row r="68" spans="1:11" ht="30.75" customHeight="1" x14ac:dyDescent="0.25">
      <c r="A68" s="11"/>
      <c r="B68" s="55"/>
      <c r="C68" s="45"/>
      <c r="D68" s="59">
        <f>0.32502</f>
        <v>0.32501999999999998</v>
      </c>
      <c r="E68" s="55" t="s">
        <v>120</v>
      </c>
      <c r="F68" s="40">
        <f t="shared" si="0"/>
        <v>0.32501999999999998</v>
      </c>
      <c r="G68" s="45"/>
      <c r="H68" s="58"/>
      <c r="I68" s="55" t="s">
        <v>120</v>
      </c>
      <c r="J68" s="46">
        <v>0</v>
      </c>
      <c r="K68" s="59">
        <f>0.32502</f>
        <v>0.32501999999999998</v>
      </c>
    </row>
    <row r="69" spans="1:11" ht="19.5" customHeight="1" x14ac:dyDescent="0.25">
      <c r="A69" s="11"/>
      <c r="B69" s="55"/>
      <c r="C69" s="45"/>
      <c r="D69" s="59">
        <f>4.2372</f>
        <v>4.2371999999999996</v>
      </c>
      <c r="E69" s="55" t="s">
        <v>72</v>
      </c>
      <c r="F69" s="40">
        <f t="shared" si="0"/>
        <v>4.2371999999999996</v>
      </c>
      <c r="G69" s="45"/>
      <c r="H69" s="58"/>
      <c r="I69" s="56" t="s">
        <v>72</v>
      </c>
      <c r="J69" s="46">
        <v>3.5310000000000001</v>
      </c>
      <c r="K69" s="46">
        <v>0.70620000000000005</v>
      </c>
    </row>
    <row r="70" spans="1:11" ht="16.5" customHeight="1" x14ac:dyDescent="0.25">
      <c r="A70" s="11"/>
      <c r="B70" s="55"/>
      <c r="C70" s="45"/>
      <c r="D70" s="50">
        <f>0.05484+0.1939</f>
        <v>0.24873999999999999</v>
      </c>
      <c r="E70" s="55" t="s">
        <v>73</v>
      </c>
      <c r="F70" s="40">
        <f t="shared" si="0"/>
        <v>0.24873999999999999</v>
      </c>
      <c r="G70" s="45"/>
      <c r="H70" s="58"/>
      <c r="I70" s="56" t="s">
        <v>73</v>
      </c>
      <c r="J70" s="46">
        <v>0.11748</v>
      </c>
      <c r="K70" s="46">
        <v>0.13125999999999999</v>
      </c>
    </row>
    <row r="71" spans="1:11" ht="12.75" customHeight="1" x14ac:dyDescent="0.25">
      <c r="A71" s="11"/>
      <c r="B71" s="55"/>
      <c r="C71" s="45"/>
      <c r="D71" s="59">
        <f>0.01744</f>
        <v>1.7440000000000001E-2</v>
      </c>
      <c r="E71" s="55" t="s">
        <v>74</v>
      </c>
      <c r="F71" s="40">
        <f t="shared" si="0"/>
        <v>1.7440000000000001E-2</v>
      </c>
      <c r="G71" s="45"/>
      <c r="H71" s="58"/>
      <c r="I71" s="56" t="s">
        <v>74</v>
      </c>
      <c r="J71" s="59">
        <f>0.01744</f>
        <v>1.7440000000000001E-2</v>
      </c>
      <c r="K71" s="46">
        <v>0</v>
      </c>
    </row>
    <row r="72" spans="1:11" ht="13.5" customHeight="1" x14ac:dyDescent="0.25">
      <c r="A72" s="11"/>
      <c r="B72" s="55"/>
      <c r="C72" s="45"/>
      <c r="D72" s="59">
        <v>0.27403</v>
      </c>
      <c r="E72" s="55" t="s">
        <v>75</v>
      </c>
      <c r="F72" s="40">
        <f t="shared" si="0"/>
        <v>0.27403</v>
      </c>
      <c r="G72" s="45"/>
      <c r="H72" s="58"/>
      <c r="I72" s="56" t="s">
        <v>75</v>
      </c>
      <c r="J72" s="46">
        <v>0</v>
      </c>
      <c r="K72" s="59">
        <v>0.27403</v>
      </c>
    </row>
    <row r="73" spans="1:11" ht="14.25" customHeight="1" x14ac:dyDescent="0.25">
      <c r="A73" s="11"/>
      <c r="B73" s="55"/>
      <c r="C73" s="45"/>
      <c r="D73" s="59">
        <f>0.11689+0.23377+0.99645+0.24156</f>
        <v>1.5886699999999998</v>
      </c>
      <c r="E73" s="55" t="s">
        <v>76</v>
      </c>
      <c r="F73" s="40">
        <f t="shared" si="0"/>
        <v>1.5886699999999998</v>
      </c>
      <c r="G73" s="45"/>
      <c r="H73" s="58"/>
      <c r="I73" s="56" t="s">
        <v>76</v>
      </c>
      <c r="J73" s="46">
        <v>0.97269000000000005</v>
      </c>
      <c r="K73" s="46">
        <v>0.61597999999999997</v>
      </c>
    </row>
    <row r="74" spans="1:11" ht="16.5" customHeight="1" x14ac:dyDescent="0.25">
      <c r="A74" s="11"/>
      <c r="B74" s="55"/>
      <c r="C74" s="45"/>
      <c r="D74" s="59">
        <v>3.8603499999999999</v>
      </c>
      <c r="E74" s="55" t="s">
        <v>77</v>
      </c>
      <c r="F74" s="40">
        <f t="shared" si="0"/>
        <v>3.8603499999999999</v>
      </c>
      <c r="G74" s="45"/>
      <c r="H74" s="58"/>
      <c r="I74" s="56" t="s">
        <v>77</v>
      </c>
      <c r="J74" s="46">
        <f>2.1232</f>
        <v>2.1232000000000002</v>
      </c>
      <c r="K74" s="46">
        <v>1.73715</v>
      </c>
    </row>
    <row r="75" spans="1:11" ht="15.75" customHeight="1" x14ac:dyDescent="0.25">
      <c r="A75" s="11"/>
      <c r="B75" s="55"/>
      <c r="C75" s="45"/>
      <c r="D75" s="59">
        <f>0.2048</f>
        <v>0.20480000000000001</v>
      </c>
      <c r="E75" s="55" t="s">
        <v>78</v>
      </c>
      <c r="F75" s="40">
        <f t="shared" si="0"/>
        <v>0.20480000000000001</v>
      </c>
      <c r="G75" s="45"/>
      <c r="H75" s="58"/>
      <c r="I75" s="56" t="s">
        <v>78</v>
      </c>
      <c r="J75" s="59">
        <f>0.2048</f>
        <v>0.20480000000000001</v>
      </c>
      <c r="K75" s="46">
        <v>0</v>
      </c>
    </row>
    <row r="76" spans="1:11" ht="13.5" customHeight="1" x14ac:dyDescent="0.25">
      <c r="A76" s="11"/>
      <c r="B76" s="55"/>
      <c r="C76" s="45"/>
      <c r="D76" s="59">
        <f>0.4806</f>
        <v>0.48060000000000003</v>
      </c>
      <c r="E76" s="55" t="s">
        <v>79</v>
      </c>
      <c r="F76" s="40">
        <f t="shared" si="0"/>
        <v>0.48060000000000003</v>
      </c>
      <c r="G76" s="45"/>
      <c r="H76" s="58"/>
      <c r="I76" s="56" t="s">
        <v>79</v>
      </c>
      <c r="J76" s="59">
        <f>0.4806</f>
        <v>0.48060000000000003</v>
      </c>
      <c r="K76" s="46">
        <v>0</v>
      </c>
    </row>
    <row r="77" spans="1:11" ht="17.25" customHeight="1" x14ac:dyDescent="0.25">
      <c r="A77" s="11"/>
      <c r="B77" s="55"/>
      <c r="C77" s="45"/>
      <c r="D77" s="59">
        <f>0.19456</f>
        <v>0.19456000000000001</v>
      </c>
      <c r="E77" s="55" t="s">
        <v>121</v>
      </c>
      <c r="F77" s="40">
        <f t="shared" si="0"/>
        <v>0.19456000000000001</v>
      </c>
      <c r="G77" s="45"/>
      <c r="H77" s="58"/>
      <c r="I77" s="55" t="s">
        <v>121</v>
      </c>
      <c r="J77" s="46">
        <f>0.14268</f>
        <v>0.14268</v>
      </c>
      <c r="K77" s="46">
        <v>5.1880000000000003E-2</v>
      </c>
    </row>
    <row r="78" spans="1:11" ht="16.5" customHeight="1" x14ac:dyDescent="0.25">
      <c r="A78" s="11"/>
      <c r="B78" s="55"/>
      <c r="C78" s="45"/>
      <c r="D78" s="59">
        <f>0.2722</f>
        <v>0.2722</v>
      </c>
      <c r="E78" s="55" t="s">
        <v>80</v>
      </c>
      <c r="F78" s="40">
        <f t="shared" ref="F78:F113" si="1">D78</f>
        <v>0.2722</v>
      </c>
      <c r="G78" s="45"/>
      <c r="H78" s="58"/>
      <c r="I78" s="56" t="s">
        <v>80</v>
      </c>
      <c r="J78" s="46">
        <v>0</v>
      </c>
      <c r="K78" s="59">
        <f>0.2722</f>
        <v>0.2722</v>
      </c>
    </row>
    <row r="79" spans="1:11" ht="12.75" customHeight="1" x14ac:dyDescent="0.25">
      <c r="A79" s="11"/>
      <c r="B79" s="55"/>
      <c r="C79" s="45"/>
      <c r="D79" s="59">
        <f>0.33545+0.10563</f>
        <v>0.44108000000000003</v>
      </c>
      <c r="E79" s="55" t="s">
        <v>81</v>
      </c>
      <c r="F79" s="40">
        <f t="shared" si="1"/>
        <v>0.44108000000000003</v>
      </c>
      <c r="G79" s="45"/>
      <c r="H79" s="58"/>
      <c r="I79" s="56" t="s">
        <v>81</v>
      </c>
      <c r="J79" s="46">
        <v>9.2480000000000007E-2</v>
      </c>
      <c r="K79" s="46">
        <v>0.34860000000000002</v>
      </c>
    </row>
    <row r="80" spans="1:11" ht="14.25" customHeight="1" x14ac:dyDescent="0.25">
      <c r="A80" s="11"/>
      <c r="B80" s="55"/>
      <c r="C80" s="45"/>
      <c r="D80" s="59">
        <f>0.1548+0.6776</f>
        <v>0.83240000000000003</v>
      </c>
      <c r="E80" s="55" t="s">
        <v>82</v>
      </c>
      <c r="F80" s="40">
        <f t="shared" si="1"/>
        <v>0.83240000000000003</v>
      </c>
      <c r="G80" s="45"/>
      <c r="H80" s="58"/>
      <c r="I80" s="56" t="s">
        <v>82</v>
      </c>
      <c r="J80" s="46">
        <f>0.1694</f>
        <v>0.1694</v>
      </c>
      <c r="K80" s="46">
        <f>0.663</f>
        <v>0.66300000000000003</v>
      </c>
    </row>
    <row r="81" spans="1:11" ht="14.25" customHeight="1" x14ac:dyDescent="0.25">
      <c r="A81" s="11"/>
      <c r="B81" s="55"/>
      <c r="C81" s="45"/>
      <c r="D81" s="59">
        <v>2.2499999999999999E-2</v>
      </c>
      <c r="E81" s="55" t="s">
        <v>83</v>
      </c>
      <c r="F81" s="40">
        <f t="shared" si="1"/>
        <v>2.2499999999999999E-2</v>
      </c>
      <c r="G81" s="45"/>
      <c r="H81" s="58"/>
      <c r="I81" s="56" t="s">
        <v>83</v>
      </c>
      <c r="J81" s="46">
        <v>0</v>
      </c>
      <c r="K81" s="59">
        <v>2.2499999999999999E-2</v>
      </c>
    </row>
    <row r="82" spans="1:11" ht="12.75" customHeight="1" x14ac:dyDescent="0.25">
      <c r="A82" s="11"/>
      <c r="B82" s="55"/>
      <c r="C82" s="45"/>
      <c r="D82" s="59">
        <v>2.2499999999999999E-2</v>
      </c>
      <c r="E82" s="55" t="s">
        <v>84</v>
      </c>
      <c r="F82" s="40">
        <f t="shared" si="1"/>
        <v>2.2499999999999999E-2</v>
      </c>
      <c r="G82" s="45"/>
      <c r="H82" s="58"/>
      <c r="I82" s="56" t="s">
        <v>84</v>
      </c>
      <c r="J82" s="46">
        <v>1.125E-2</v>
      </c>
      <c r="K82" s="46">
        <v>1.125E-2</v>
      </c>
    </row>
    <row r="83" spans="1:11" ht="12.75" customHeight="1" x14ac:dyDescent="0.25">
      <c r="A83" s="11"/>
      <c r="B83" s="55"/>
      <c r="C83" s="45"/>
      <c r="D83" s="50">
        <f>0.0225</f>
        <v>2.2499999999999999E-2</v>
      </c>
      <c r="E83" s="55" t="s">
        <v>85</v>
      </c>
      <c r="F83" s="40">
        <f t="shared" si="1"/>
        <v>2.2499999999999999E-2</v>
      </c>
      <c r="G83" s="45"/>
      <c r="H83" s="58"/>
      <c r="I83" s="56" t="s">
        <v>85</v>
      </c>
      <c r="J83" s="46">
        <v>0</v>
      </c>
      <c r="K83" s="50">
        <f>0.0225</f>
        <v>2.2499999999999999E-2</v>
      </c>
    </row>
    <row r="84" spans="1:11" ht="27" customHeight="1" x14ac:dyDescent="0.25">
      <c r="A84" s="11"/>
      <c r="B84" s="55"/>
      <c r="C84" s="45"/>
      <c r="D84" s="59">
        <f>0.6915</f>
        <v>0.6915</v>
      </c>
      <c r="E84" s="55" t="s">
        <v>122</v>
      </c>
      <c r="F84" s="40">
        <f t="shared" si="1"/>
        <v>0.6915</v>
      </c>
      <c r="G84" s="45"/>
      <c r="H84" s="58"/>
      <c r="I84" s="56" t="s">
        <v>86</v>
      </c>
      <c r="J84" s="46">
        <v>0</v>
      </c>
      <c r="K84" s="59">
        <f>0.6915</f>
        <v>0.6915</v>
      </c>
    </row>
    <row r="85" spans="1:11" ht="16.5" customHeight="1" x14ac:dyDescent="0.25">
      <c r="A85" s="11"/>
      <c r="B85" s="55"/>
      <c r="C85" s="45"/>
      <c r="D85" s="59">
        <f>5.44095+2.81538+7.37979</f>
        <v>15.63612</v>
      </c>
      <c r="E85" s="55" t="s">
        <v>87</v>
      </c>
      <c r="F85" s="40">
        <f t="shared" si="1"/>
        <v>15.63612</v>
      </c>
      <c r="G85" s="45"/>
      <c r="H85" s="58"/>
      <c r="I85" s="56" t="s">
        <v>87</v>
      </c>
      <c r="J85" s="46">
        <v>11.829700000000001</v>
      </c>
      <c r="K85" s="46">
        <f>3.80642</f>
        <v>3.8064200000000001</v>
      </c>
    </row>
    <row r="86" spans="1:11" ht="29.25" customHeight="1" x14ac:dyDescent="0.25">
      <c r="A86" s="11"/>
      <c r="B86" s="55"/>
      <c r="C86" s="45"/>
      <c r="D86" s="59">
        <v>0.11871</v>
      </c>
      <c r="E86" s="55" t="s">
        <v>88</v>
      </c>
      <c r="F86" s="40">
        <f t="shared" si="1"/>
        <v>0.11871</v>
      </c>
      <c r="G86" s="45"/>
      <c r="H86" s="58"/>
      <c r="I86" s="56" t="s">
        <v>88</v>
      </c>
      <c r="J86" s="46">
        <v>0</v>
      </c>
      <c r="K86" s="59">
        <v>0.11871</v>
      </c>
    </row>
    <row r="87" spans="1:11" ht="13.5" customHeight="1" x14ac:dyDescent="0.25">
      <c r="A87" s="11"/>
      <c r="B87" s="55"/>
      <c r="C87" s="45"/>
      <c r="D87" s="59">
        <v>3.8841000000000001</v>
      </c>
      <c r="E87" s="55" t="s">
        <v>89</v>
      </c>
      <c r="F87" s="40">
        <f t="shared" si="1"/>
        <v>3.8841000000000001</v>
      </c>
      <c r="G87" s="45"/>
      <c r="H87" s="58"/>
      <c r="I87" s="56" t="s">
        <v>89</v>
      </c>
      <c r="J87" s="46">
        <f>3.48275</f>
        <v>3.4827499999999998</v>
      </c>
      <c r="K87" s="46">
        <f>0.40135</f>
        <v>0.40134999999999998</v>
      </c>
    </row>
    <row r="88" spans="1:11" ht="18" customHeight="1" x14ac:dyDescent="0.25">
      <c r="A88" s="11"/>
      <c r="B88" s="55"/>
      <c r="C88" s="45"/>
      <c r="D88" s="59">
        <v>4.298</v>
      </c>
      <c r="E88" s="55" t="s">
        <v>123</v>
      </c>
      <c r="F88" s="40">
        <f t="shared" si="1"/>
        <v>4.298</v>
      </c>
      <c r="G88" s="45"/>
      <c r="H88" s="58"/>
      <c r="I88" s="55" t="s">
        <v>123</v>
      </c>
      <c r="J88" s="46">
        <v>1.5349999999999999</v>
      </c>
      <c r="K88" s="46">
        <v>2.7629999999999999</v>
      </c>
    </row>
    <row r="89" spans="1:11" ht="15.75" customHeight="1" x14ac:dyDescent="0.25">
      <c r="A89" s="11"/>
      <c r="B89" s="55"/>
      <c r="C89" s="45"/>
      <c r="D89" s="59">
        <f>3.377</f>
        <v>3.3769999999999998</v>
      </c>
      <c r="E89" s="55" t="s">
        <v>124</v>
      </c>
      <c r="F89" s="40">
        <f t="shared" si="1"/>
        <v>3.3769999999999998</v>
      </c>
      <c r="G89" s="45"/>
      <c r="H89" s="58"/>
      <c r="I89" s="55" t="s">
        <v>124</v>
      </c>
      <c r="J89" s="46">
        <v>1.5964</v>
      </c>
      <c r="K89" s="46">
        <v>1.7806</v>
      </c>
    </row>
    <row r="90" spans="1:11" ht="15" customHeight="1" x14ac:dyDescent="0.25">
      <c r="A90" s="11"/>
      <c r="B90" s="55"/>
      <c r="C90" s="45"/>
      <c r="D90" s="59">
        <v>2.7629999999999999</v>
      </c>
      <c r="E90" s="55" t="s">
        <v>125</v>
      </c>
      <c r="F90" s="40">
        <f t="shared" si="1"/>
        <v>2.7629999999999999</v>
      </c>
      <c r="G90" s="45"/>
      <c r="H90" s="58"/>
      <c r="I90" s="55" t="s">
        <v>125</v>
      </c>
      <c r="J90" s="46">
        <v>2.149</v>
      </c>
      <c r="K90" s="46">
        <f>0.614</f>
        <v>0.61399999999999999</v>
      </c>
    </row>
    <row r="91" spans="1:11" ht="17.25" customHeight="1" x14ac:dyDescent="0.25">
      <c r="A91" s="11"/>
      <c r="B91" s="55"/>
      <c r="C91" s="45"/>
      <c r="D91" s="59">
        <v>1.228</v>
      </c>
      <c r="E91" s="55" t="s">
        <v>126</v>
      </c>
      <c r="F91" s="40">
        <f t="shared" si="1"/>
        <v>1.228</v>
      </c>
      <c r="G91" s="45"/>
      <c r="H91" s="58"/>
      <c r="I91" s="55" t="s">
        <v>126</v>
      </c>
      <c r="J91" s="59">
        <v>1.228</v>
      </c>
      <c r="K91" s="46">
        <v>0</v>
      </c>
    </row>
    <row r="92" spans="1:11" ht="28.5" customHeight="1" x14ac:dyDescent="0.25">
      <c r="A92" s="11"/>
      <c r="B92" s="55"/>
      <c r="C92" s="45"/>
      <c r="D92" s="59">
        <f>0.921</f>
        <v>0.92100000000000004</v>
      </c>
      <c r="E92" s="55" t="s">
        <v>127</v>
      </c>
      <c r="F92" s="40">
        <f t="shared" si="1"/>
        <v>0.92100000000000004</v>
      </c>
      <c r="G92" s="45"/>
      <c r="H92" s="58"/>
      <c r="I92" s="55" t="s">
        <v>127</v>
      </c>
      <c r="J92" s="59">
        <f>0.921</f>
        <v>0.92100000000000004</v>
      </c>
      <c r="K92" s="46">
        <v>0</v>
      </c>
    </row>
    <row r="93" spans="1:11" ht="15.75" customHeight="1" x14ac:dyDescent="0.25">
      <c r="A93" s="11"/>
      <c r="B93" s="55"/>
      <c r="C93" s="45"/>
      <c r="D93" s="59">
        <v>1.7751300000000001</v>
      </c>
      <c r="E93" s="55" t="s">
        <v>112</v>
      </c>
      <c r="F93" s="40">
        <f t="shared" si="1"/>
        <v>1.7751300000000001</v>
      </c>
      <c r="G93" s="45"/>
      <c r="H93" s="58"/>
      <c r="I93" s="56" t="s">
        <v>112</v>
      </c>
      <c r="J93" s="59">
        <v>1.7751300000000001</v>
      </c>
      <c r="K93" s="46">
        <v>0</v>
      </c>
    </row>
    <row r="94" spans="1:11" ht="30" x14ac:dyDescent="0.25">
      <c r="A94" s="11"/>
      <c r="B94" s="55"/>
      <c r="C94" s="45"/>
      <c r="D94" s="59">
        <f>2.763</f>
        <v>2.7629999999999999</v>
      </c>
      <c r="E94" s="55" t="s">
        <v>128</v>
      </c>
      <c r="F94" s="40">
        <f t="shared" si="1"/>
        <v>2.7629999999999999</v>
      </c>
      <c r="G94" s="45"/>
      <c r="H94" s="58"/>
      <c r="I94" s="55" t="s">
        <v>128</v>
      </c>
      <c r="J94" s="46">
        <f>2.456</f>
        <v>2.456</v>
      </c>
      <c r="K94" s="46">
        <v>0.307</v>
      </c>
    </row>
    <row r="95" spans="1:11" ht="13.5" customHeight="1" x14ac:dyDescent="0.25">
      <c r="A95" s="11"/>
      <c r="B95" s="55"/>
      <c r="C95" s="45"/>
      <c r="D95" s="59">
        <v>1.7751300000000001</v>
      </c>
      <c r="E95" s="55" t="s">
        <v>111</v>
      </c>
      <c r="F95" s="40">
        <f t="shared" si="1"/>
        <v>1.7751300000000001</v>
      </c>
      <c r="G95" s="45"/>
      <c r="H95" s="58"/>
      <c r="I95" s="56" t="s">
        <v>111</v>
      </c>
      <c r="J95" s="59">
        <v>1.7751300000000001</v>
      </c>
      <c r="K95" s="46">
        <v>0</v>
      </c>
    </row>
    <row r="96" spans="1:11" ht="15.75" customHeight="1" x14ac:dyDescent="0.25">
      <c r="A96" s="11"/>
      <c r="B96" s="55"/>
      <c r="C96" s="45"/>
      <c r="D96" s="59">
        <v>2.9788800000000002</v>
      </c>
      <c r="E96" s="55" t="s">
        <v>90</v>
      </c>
      <c r="F96" s="40">
        <f t="shared" si="1"/>
        <v>2.9788800000000002</v>
      </c>
      <c r="G96" s="45"/>
      <c r="H96" s="58"/>
      <c r="I96" s="56" t="s">
        <v>90</v>
      </c>
      <c r="J96" s="46">
        <f>2.0544</f>
        <v>2.0543999999999998</v>
      </c>
      <c r="K96" s="46">
        <v>0.92447999999999997</v>
      </c>
    </row>
    <row r="97" spans="1:11" ht="15" customHeight="1" x14ac:dyDescent="0.25">
      <c r="A97" s="11"/>
      <c r="B97" s="55"/>
      <c r="C97" s="45"/>
      <c r="D97" s="59">
        <f>2.98123+1.39614</f>
        <v>4.37737</v>
      </c>
      <c r="E97" s="55" t="s">
        <v>91</v>
      </c>
      <c r="F97" s="40">
        <f t="shared" si="1"/>
        <v>4.37737</v>
      </c>
      <c r="G97" s="45"/>
      <c r="H97" s="58"/>
      <c r="I97" s="56" t="s">
        <v>91</v>
      </c>
      <c r="J97" s="46">
        <f>1.9378</f>
        <v>1.9378</v>
      </c>
      <c r="K97" s="46">
        <f>2.43957</f>
        <v>2.4395699999999998</v>
      </c>
    </row>
    <row r="98" spans="1:11" ht="13.5" customHeight="1" x14ac:dyDescent="0.25">
      <c r="A98" s="11"/>
      <c r="B98" s="55"/>
      <c r="C98" s="45"/>
      <c r="D98" s="59">
        <v>0.58884000000000003</v>
      </c>
      <c r="E98" s="55" t="s">
        <v>92</v>
      </c>
      <c r="F98" s="40">
        <f t="shared" si="1"/>
        <v>0.58884000000000003</v>
      </c>
      <c r="G98" s="45"/>
      <c r="H98" s="58"/>
      <c r="I98" s="56" t="s">
        <v>92</v>
      </c>
      <c r="J98" s="59">
        <v>0</v>
      </c>
      <c r="K98" s="59">
        <v>0.58884000000000003</v>
      </c>
    </row>
    <row r="99" spans="1:11" ht="13.5" customHeight="1" x14ac:dyDescent="0.25">
      <c r="A99" s="11"/>
      <c r="B99" s="55"/>
      <c r="C99" s="45"/>
      <c r="D99" s="59">
        <v>2.6329999999999999E-2</v>
      </c>
      <c r="E99" s="55" t="s">
        <v>93</v>
      </c>
      <c r="F99" s="40">
        <f t="shared" si="1"/>
        <v>2.6329999999999999E-2</v>
      </c>
      <c r="G99" s="45"/>
      <c r="H99" s="58"/>
      <c r="I99" s="56" t="s">
        <v>93</v>
      </c>
      <c r="J99" s="59">
        <v>2.6329999999999999E-2</v>
      </c>
      <c r="K99" s="46">
        <v>0</v>
      </c>
    </row>
    <row r="100" spans="1:11" ht="13.5" customHeight="1" x14ac:dyDescent="0.25">
      <c r="A100" s="11"/>
      <c r="B100" s="55"/>
      <c r="C100" s="45"/>
      <c r="D100" s="59">
        <f>1.9231</f>
        <v>1.9231</v>
      </c>
      <c r="E100" s="55" t="s">
        <v>94</v>
      </c>
      <c r="F100" s="40">
        <f t="shared" si="1"/>
        <v>1.9231</v>
      </c>
      <c r="G100" s="45"/>
      <c r="H100" s="58"/>
      <c r="I100" s="56" t="s">
        <v>94</v>
      </c>
      <c r="J100" s="46">
        <v>0.27472999999999997</v>
      </c>
      <c r="K100" s="46">
        <f>1.64837</f>
        <v>1.6483699999999999</v>
      </c>
    </row>
    <row r="101" spans="1:11" ht="15" customHeight="1" x14ac:dyDescent="0.25">
      <c r="A101" s="11"/>
      <c r="B101" s="55"/>
      <c r="C101" s="45"/>
      <c r="D101" s="59">
        <v>0.95101999999999998</v>
      </c>
      <c r="E101" s="55" t="s">
        <v>95</v>
      </c>
      <c r="F101" s="40">
        <f t="shared" si="1"/>
        <v>0.95101999999999998</v>
      </c>
      <c r="G101" s="45"/>
      <c r="H101" s="58"/>
      <c r="I101" s="56" t="s">
        <v>95</v>
      </c>
      <c r="J101" s="59">
        <v>0</v>
      </c>
      <c r="K101" s="59">
        <v>0.95101999999999998</v>
      </c>
    </row>
    <row r="102" spans="1:11" ht="15" customHeight="1" x14ac:dyDescent="0.25">
      <c r="A102" s="11"/>
      <c r="B102" s="55"/>
      <c r="C102" s="45"/>
      <c r="D102" s="59">
        <f>5.12487+8.05122</f>
        <v>13.17609</v>
      </c>
      <c r="E102" s="55" t="s">
        <v>96</v>
      </c>
      <c r="F102" s="40">
        <f t="shared" si="1"/>
        <v>13.17609</v>
      </c>
      <c r="G102" s="45"/>
      <c r="H102" s="58"/>
      <c r="I102" s="56" t="s">
        <v>96</v>
      </c>
      <c r="J102" s="46">
        <v>10.27764</v>
      </c>
      <c r="K102" s="46">
        <f>2.89845</f>
        <v>2.89845</v>
      </c>
    </row>
    <row r="103" spans="1:11" ht="15" customHeight="1" x14ac:dyDescent="0.25">
      <c r="A103" s="11"/>
      <c r="B103" s="55"/>
      <c r="C103" s="45"/>
      <c r="D103" s="59">
        <v>0.19153999999999999</v>
      </c>
      <c r="E103" s="55" t="s">
        <v>97</v>
      </c>
      <c r="F103" s="40">
        <f t="shared" si="1"/>
        <v>0.19153999999999999</v>
      </c>
      <c r="G103" s="45"/>
      <c r="H103" s="58"/>
      <c r="I103" s="56" t="s">
        <v>97</v>
      </c>
      <c r="J103" s="46">
        <f>0.07367</f>
        <v>7.3669999999999999E-2</v>
      </c>
      <c r="K103" s="46">
        <f>0.11787</f>
        <v>0.11787</v>
      </c>
    </row>
    <row r="104" spans="1:11" ht="14.25" customHeight="1" x14ac:dyDescent="0.25">
      <c r="A104" s="11"/>
      <c r="B104" s="55"/>
      <c r="C104" s="45"/>
      <c r="D104" s="59">
        <f>0.36504</f>
        <v>0.36503999999999998</v>
      </c>
      <c r="E104" s="55" t="s">
        <v>98</v>
      </c>
      <c r="F104" s="40">
        <f t="shared" si="1"/>
        <v>0.36503999999999998</v>
      </c>
      <c r="G104" s="45"/>
      <c r="H104" s="58"/>
      <c r="I104" s="56" t="s">
        <v>98</v>
      </c>
      <c r="J104" s="46">
        <f>0.21294</f>
        <v>0.21293999999999999</v>
      </c>
      <c r="K104" s="46">
        <f>0.1521</f>
        <v>0.15210000000000001</v>
      </c>
    </row>
    <row r="105" spans="1:11" ht="13.5" customHeight="1" x14ac:dyDescent="0.25">
      <c r="A105" s="11"/>
      <c r="B105" s="55"/>
      <c r="C105" s="45"/>
      <c r="D105" s="59">
        <v>0.63729000000000002</v>
      </c>
      <c r="E105" s="55" t="s">
        <v>99</v>
      </c>
      <c r="F105" s="40">
        <f t="shared" si="1"/>
        <v>0.63729000000000002</v>
      </c>
      <c r="G105" s="45"/>
      <c r="H105" s="58"/>
      <c r="I105" s="56" t="s">
        <v>99</v>
      </c>
      <c r="J105" s="59">
        <v>0.63729000000000002</v>
      </c>
      <c r="K105" s="46">
        <v>0</v>
      </c>
    </row>
    <row r="106" spans="1:11" ht="12.75" customHeight="1" x14ac:dyDescent="0.25">
      <c r="A106" s="11"/>
      <c r="B106" s="55"/>
      <c r="C106" s="45"/>
      <c r="D106" s="59">
        <f>0.95626</f>
        <v>0.95626</v>
      </c>
      <c r="E106" s="55" t="s">
        <v>100</v>
      </c>
      <c r="F106" s="40">
        <f t="shared" si="1"/>
        <v>0.95626</v>
      </c>
      <c r="G106" s="45"/>
      <c r="H106" s="58"/>
      <c r="I106" s="56" t="s">
        <v>100</v>
      </c>
      <c r="J106" s="46">
        <f>0.3825</f>
        <v>0.38250000000000001</v>
      </c>
      <c r="K106" s="46">
        <f>0.57376</f>
        <v>0.57376000000000005</v>
      </c>
    </row>
    <row r="107" spans="1:11" ht="15" customHeight="1" x14ac:dyDescent="0.25">
      <c r="A107" s="11"/>
      <c r="B107" s="55"/>
      <c r="C107" s="45"/>
      <c r="D107" s="59">
        <f>0.17345+0.276+0.08587-0.00006</f>
        <v>0.53526000000000007</v>
      </c>
      <c r="E107" s="56" t="s">
        <v>101</v>
      </c>
      <c r="F107" s="40">
        <f t="shared" si="1"/>
        <v>0.53526000000000007</v>
      </c>
      <c r="G107" s="45"/>
      <c r="H107" s="58"/>
      <c r="I107" s="56" t="s">
        <v>101</v>
      </c>
      <c r="J107" s="46">
        <f>0.3642</f>
        <v>0.36420000000000002</v>
      </c>
      <c r="K107" s="46">
        <f>0.17112</f>
        <v>0.17111999999999999</v>
      </c>
    </row>
    <row r="108" spans="1:11" ht="14.25" customHeight="1" x14ac:dyDescent="0.25">
      <c r="A108" s="11"/>
      <c r="B108" s="55"/>
      <c r="C108" s="45"/>
      <c r="D108" s="59">
        <f>0.49434+1.0431</f>
        <v>1.5374399999999999</v>
      </c>
      <c r="E108" s="55" t="s">
        <v>105</v>
      </c>
      <c r="F108" s="40">
        <f t="shared" si="1"/>
        <v>1.5374399999999999</v>
      </c>
      <c r="G108" s="45"/>
      <c r="H108" s="58"/>
      <c r="I108" s="56" t="s">
        <v>105</v>
      </c>
      <c r="J108" s="46">
        <v>0.55656000000000005</v>
      </c>
      <c r="K108" s="46">
        <v>0.98087999999999997</v>
      </c>
    </row>
    <row r="109" spans="1:11" ht="12.75" customHeight="1" x14ac:dyDescent="0.25">
      <c r="A109" s="11"/>
      <c r="B109" s="55"/>
      <c r="C109" s="45"/>
      <c r="D109" s="59">
        <v>0.67900000000000005</v>
      </c>
      <c r="E109" s="55" t="s">
        <v>104</v>
      </c>
      <c r="F109" s="40">
        <f t="shared" si="1"/>
        <v>0.67900000000000005</v>
      </c>
      <c r="G109" s="45"/>
      <c r="H109" s="58"/>
      <c r="I109" s="56" t="s">
        <v>104</v>
      </c>
      <c r="J109" s="46">
        <f>0.27645</f>
        <v>0.27644999999999997</v>
      </c>
      <c r="K109" s="46">
        <v>0.40255000000000002</v>
      </c>
    </row>
    <row r="110" spans="1:11" ht="14.25" customHeight="1" x14ac:dyDescent="0.25">
      <c r="A110" s="11"/>
      <c r="B110" s="55"/>
      <c r="C110" s="45"/>
      <c r="D110" s="59">
        <v>0.60192000000000001</v>
      </c>
      <c r="E110" s="55" t="s">
        <v>102</v>
      </c>
      <c r="F110" s="40">
        <f t="shared" si="1"/>
        <v>0.60192000000000001</v>
      </c>
      <c r="G110" s="45"/>
      <c r="H110" s="58"/>
      <c r="I110" s="56" t="s">
        <v>102</v>
      </c>
      <c r="J110" s="46">
        <f>0.49362</f>
        <v>0.49362</v>
      </c>
      <c r="K110" s="46">
        <f>0.1083</f>
        <v>0.10829999999999999</v>
      </c>
    </row>
    <row r="111" spans="1:11" ht="13.5" customHeight="1" x14ac:dyDescent="0.25">
      <c r="A111" s="11"/>
      <c r="B111" s="55"/>
      <c r="C111" s="45"/>
      <c r="D111" s="59">
        <f>1.14+0.2048</f>
        <v>1.3448</v>
      </c>
      <c r="E111" s="55" t="s">
        <v>103</v>
      </c>
      <c r="F111" s="40">
        <f t="shared" si="1"/>
        <v>1.3448</v>
      </c>
      <c r="G111" s="45"/>
      <c r="H111" s="58"/>
      <c r="I111" s="56" t="s">
        <v>103</v>
      </c>
      <c r="J111" s="46">
        <f>0.70412</f>
        <v>0.70411999999999997</v>
      </c>
      <c r="K111" s="46">
        <f>0.64068</f>
        <v>0.64068000000000003</v>
      </c>
    </row>
    <row r="112" spans="1:11" ht="15.75" x14ac:dyDescent="0.25">
      <c r="A112" s="11"/>
      <c r="B112" s="55"/>
      <c r="C112" s="45"/>
      <c r="D112" s="59">
        <v>0.46200000000000002</v>
      </c>
      <c r="E112" s="55" t="s">
        <v>106</v>
      </c>
      <c r="F112" s="40">
        <f t="shared" si="1"/>
        <v>0.46200000000000002</v>
      </c>
      <c r="G112" s="45"/>
      <c r="H112" s="58"/>
      <c r="I112" s="56" t="s">
        <v>106</v>
      </c>
      <c r="J112" s="46">
        <f>0.0462</f>
        <v>4.6199999999999998E-2</v>
      </c>
      <c r="K112" s="46">
        <f>0.4158</f>
        <v>0.4158</v>
      </c>
    </row>
    <row r="113" spans="1:11" ht="45" x14ac:dyDescent="0.25">
      <c r="A113" s="11"/>
      <c r="B113" s="60" t="s">
        <v>110</v>
      </c>
      <c r="C113" s="45"/>
      <c r="D113" s="61">
        <v>1.7</v>
      </c>
      <c r="E113" s="55" t="s">
        <v>114</v>
      </c>
      <c r="F113" s="40">
        <f t="shared" si="1"/>
        <v>1.7</v>
      </c>
      <c r="G113" s="45"/>
      <c r="H113" s="45"/>
      <c r="I113" s="56" t="s">
        <v>136</v>
      </c>
      <c r="J113" s="46">
        <v>0</v>
      </c>
      <c r="K113" s="61">
        <v>1.7</v>
      </c>
    </row>
    <row r="114" spans="1:11" ht="15.75" x14ac:dyDescent="0.25">
      <c r="A114" s="11"/>
      <c r="B114" s="60" t="s">
        <v>129</v>
      </c>
      <c r="C114" s="62">
        <v>14.691000000000001</v>
      </c>
      <c r="D114" s="61"/>
      <c r="E114" s="55"/>
      <c r="F114" s="40">
        <v>14.691000000000001</v>
      </c>
      <c r="G114" s="45"/>
      <c r="H114" s="45">
        <v>0</v>
      </c>
      <c r="I114" s="56"/>
      <c r="J114" s="46"/>
      <c r="K114" s="61">
        <v>14.691000000000001</v>
      </c>
    </row>
    <row r="115" spans="1:11" x14ac:dyDescent="0.25">
      <c r="A115" s="262" t="s">
        <v>12</v>
      </c>
      <c r="B115" s="1"/>
      <c r="C115" s="1"/>
      <c r="D115" s="28"/>
      <c r="E115" s="15"/>
      <c r="F115" s="42">
        <v>0</v>
      </c>
      <c r="G115" s="1"/>
      <c r="H115" s="1"/>
      <c r="I115" s="21"/>
      <c r="J115" s="35"/>
      <c r="K115" s="37">
        <v>0</v>
      </c>
    </row>
    <row r="116" spans="1:11" x14ac:dyDescent="0.25">
      <c r="A116" s="263"/>
      <c r="B116" s="1"/>
      <c r="C116" s="1"/>
      <c r="D116" s="29"/>
      <c r="E116" s="1"/>
      <c r="F116" s="41"/>
      <c r="G116" s="1"/>
      <c r="H116" s="1"/>
      <c r="I116" s="21"/>
      <c r="J116" s="35"/>
      <c r="K116" s="35"/>
    </row>
    <row r="117" spans="1:11" x14ac:dyDescent="0.25">
      <c r="A117" s="262" t="s">
        <v>14</v>
      </c>
      <c r="B117" s="1"/>
      <c r="C117" s="1"/>
      <c r="D117" s="29"/>
      <c r="E117" s="1"/>
      <c r="F117" s="42">
        <v>0</v>
      </c>
      <c r="G117" s="1"/>
      <c r="H117" s="1"/>
      <c r="I117" s="21"/>
      <c r="J117" s="35"/>
      <c r="K117" s="37">
        <v>0</v>
      </c>
    </row>
    <row r="118" spans="1:11" x14ac:dyDescent="0.25">
      <c r="A118" s="263"/>
      <c r="B118" s="1"/>
      <c r="C118" s="1"/>
      <c r="D118" s="29"/>
      <c r="E118" s="1"/>
      <c r="F118" s="41"/>
      <c r="G118" s="1"/>
      <c r="H118" s="1"/>
      <c r="I118" s="21"/>
      <c r="J118" s="35"/>
      <c r="K118" s="35"/>
    </row>
    <row r="119" spans="1:11" x14ac:dyDescent="0.25">
      <c r="A119" s="262" t="s">
        <v>15</v>
      </c>
      <c r="B119" s="1"/>
      <c r="C119" s="1"/>
      <c r="D119" s="29"/>
      <c r="E119" s="1"/>
      <c r="F119" s="42">
        <v>0</v>
      </c>
      <c r="G119" s="1"/>
      <c r="H119" s="1"/>
      <c r="I119" s="21"/>
      <c r="J119" s="35"/>
      <c r="K119" s="37">
        <v>0</v>
      </c>
    </row>
    <row r="120" spans="1:11" x14ac:dyDescent="0.25">
      <c r="A120" s="263"/>
      <c r="B120" s="1"/>
      <c r="C120" s="1"/>
      <c r="D120" s="29"/>
      <c r="E120" s="1"/>
      <c r="F120" s="41"/>
      <c r="G120" s="1"/>
      <c r="H120" s="1"/>
      <c r="I120" s="21"/>
      <c r="J120" s="35"/>
      <c r="K120" s="35"/>
    </row>
    <row r="121" spans="1:11" ht="33" customHeight="1" x14ac:dyDescent="0.25">
      <c r="A121" s="4" t="s">
        <v>16</v>
      </c>
      <c r="B121" s="1"/>
      <c r="C121" s="62">
        <v>14.691000000000001</v>
      </c>
      <c r="D121" s="30">
        <f>SUM(D13:D113)</f>
        <v>217.12435000000002</v>
      </c>
      <c r="E121" s="6" t="s">
        <v>17</v>
      </c>
      <c r="F121" s="42">
        <f>C121+D121</f>
        <v>231.81535000000002</v>
      </c>
      <c r="G121" s="6" t="s">
        <v>17</v>
      </c>
      <c r="H121" s="5">
        <v>0</v>
      </c>
      <c r="I121" s="22" t="s">
        <v>17</v>
      </c>
      <c r="J121" s="36">
        <f>SUM(J13:J113)</f>
        <v>175.71924999999999</v>
      </c>
      <c r="K121" s="36">
        <f>SUM(K13:K113)+K114</f>
        <v>56.096160000000005</v>
      </c>
    </row>
    <row r="122" spans="1:11" ht="21.75" customHeight="1" x14ac:dyDescent="0.25">
      <c r="A122" s="70"/>
      <c r="B122" s="64"/>
      <c r="C122" s="71"/>
      <c r="D122" s="72"/>
      <c r="E122" s="73"/>
      <c r="F122" s="74"/>
      <c r="G122" s="73"/>
      <c r="H122" s="75"/>
      <c r="I122" s="76"/>
      <c r="J122" s="77"/>
      <c r="K122" s="77"/>
    </row>
    <row r="123" spans="1:11" x14ac:dyDescent="0.25">
      <c r="F123" s="78"/>
      <c r="G123" s="79"/>
    </row>
    <row r="124" spans="1:11" x14ac:dyDescent="0.25">
      <c r="B124" s="63" t="s">
        <v>130</v>
      </c>
      <c r="C124" s="65"/>
      <c r="D124" s="66"/>
      <c r="E124" s="65"/>
      <c r="F124" s="265" t="s">
        <v>133</v>
      </c>
      <c r="G124" s="265"/>
      <c r="H124" s="8"/>
      <c r="I124" s="17"/>
    </row>
    <row r="125" spans="1:11" x14ac:dyDescent="0.25">
      <c r="B125" s="63"/>
      <c r="C125" s="67"/>
      <c r="D125" s="68"/>
      <c r="E125" s="67"/>
      <c r="F125" s="80"/>
      <c r="G125" s="81"/>
      <c r="H125" s="8"/>
      <c r="I125" s="17"/>
    </row>
    <row r="126" spans="1:11" x14ac:dyDescent="0.25">
      <c r="B126" s="63"/>
      <c r="C126" s="8"/>
      <c r="D126" s="69"/>
      <c r="E126" s="8"/>
      <c r="F126" s="80"/>
      <c r="G126" s="81"/>
      <c r="H126" s="8"/>
      <c r="I126" s="17"/>
    </row>
    <row r="127" spans="1:11" x14ac:dyDescent="0.25">
      <c r="B127" s="63" t="s">
        <v>132</v>
      </c>
      <c r="C127" s="65"/>
      <c r="D127" s="66"/>
      <c r="E127" s="65"/>
      <c r="F127" s="265" t="s">
        <v>134</v>
      </c>
      <c r="G127" s="265"/>
      <c r="H127" s="8"/>
      <c r="I127" s="17"/>
    </row>
    <row r="128" spans="1:11" x14ac:dyDescent="0.25">
      <c r="B128" s="63"/>
      <c r="C128" s="67"/>
      <c r="D128" s="68"/>
      <c r="E128" s="67"/>
      <c r="F128" s="80"/>
      <c r="G128" s="81"/>
      <c r="H128" s="8"/>
      <c r="I128" s="17"/>
    </row>
    <row r="129" spans="2:9" x14ac:dyDescent="0.25">
      <c r="B129" s="63"/>
      <c r="C129" s="8"/>
      <c r="D129" s="69"/>
      <c r="E129" s="8"/>
      <c r="F129" s="80"/>
      <c r="G129" s="81"/>
      <c r="H129" s="8"/>
      <c r="I129" s="17"/>
    </row>
    <row r="130" spans="2:9" x14ac:dyDescent="0.25">
      <c r="B130" s="63" t="s">
        <v>131</v>
      </c>
      <c r="C130" s="65"/>
      <c r="D130" s="66"/>
      <c r="E130" s="65"/>
      <c r="F130" s="265" t="s">
        <v>135</v>
      </c>
      <c r="G130" s="265"/>
      <c r="H130" s="8"/>
      <c r="I130" s="17"/>
    </row>
  </sheetData>
  <mergeCells count="17">
    <mergeCell ref="A13:A14"/>
    <mergeCell ref="A115:A116"/>
    <mergeCell ref="A11:A12"/>
    <mergeCell ref="B11:B12"/>
    <mergeCell ref="F130:G130"/>
    <mergeCell ref="A117:A118"/>
    <mergeCell ref="A119:A120"/>
    <mergeCell ref="F124:G124"/>
    <mergeCell ref="F127:G127"/>
    <mergeCell ref="K11:K12"/>
    <mergeCell ref="F11:F12"/>
    <mergeCell ref="G11:J11"/>
    <mergeCell ref="C11:E11"/>
    <mergeCell ref="D5:H5"/>
    <mergeCell ref="B6:J6"/>
    <mergeCell ref="B7:J7"/>
    <mergeCell ref="C8:I8"/>
  </mergeCells>
  <phoneticPr fontId="12" type="noConversion"/>
  <pageMargins left="0.31496062992125984" right="0.11811023622047245" top="0.15748031496062992" bottom="0.15748031496062992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7"/>
  <sheetViews>
    <sheetView topLeftCell="A190" workbookViewId="0">
      <selection activeCell="D208" sqref="D208"/>
    </sheetView>
  </sheetViews>
  <sheetFormatPr defaultRowHeight="15" x14ac:dyDescent="0.25"/>
  <cols>
    <col min="1" max="1" width="9.42578125" customWidth="1"/>
    <col min="2" max="2" width="19.85546875" customWidth="1"/>
    <col min="3" max="3" width="9.42578125" customWidth="1"/>
    <col min="4" max="4" width="10.85546875" style="95" customWidth="1"/>
    <col min="5" max="5" width="24.7109375" customWidth="1"/>
    <col min="6" max="6" width="11.7109375" style="38" customWidth="1"/>
    <col min="7" max="7" width="14" customWidth="1"/>
    <col min="8" max="8" width="10" customWidth="1"/>
    <col min="9" max="9" width="26.140625" style="19" customWidth="1"/>
    <col min="10" max="10" width="9.42578125" style="31" customWidth="1"/>
    <col min="11" max="11" width="17.28515625" style="31" customWidth="1"/>
  </cols>
  <sheetData>
    <row r="1" spans="1:11" x14ac:dyDescent="0.25">
      <c r="I1" s="17" t="s">
        <v>19</v>
      </c>
    </row>
    <row r="2" spans="1:11" x14ac:dyDescent="0.25">
      <c r="I2" s="17" t="s">
        <v>20</v>
      </c>
    </row>
    <row r="3" spans="1:11" x14ac:dyDescent="0.25">
      <c r="I3" s="17" t="s">
        <v>21</v>
      </c>
    </row>
    <row r="5" spans="1:11" ht="18.75" x14ac:dyDescent="0.3">
      <c r="B5" s="10"/>
      <c r="C5" s="10"/>
      <c r="D5" s="257" t="s">
        <v>18</v>
      </c>
      <c r="E5" s="257"/>
      <c r="F5" s="257"/>
      <c r="G5" s="257"/>
      <c r="H5" s="257"/>
      <c r="I5" s="18"/>
      <c r="J5" s="32"/>
    </row>
    <row r="6" spans="1:11" ht="18.75" x14ac:dyDescent="0.3">
      <c r="B6" s="258" t="s">
        <v>49</v>
      </c>
      <c r="C6" s="258"/>
      <c r="D6" s="258"/>
      <c r="E6" s="258"/>
      <c r="F6" s="258"/>
      <c r="G6" s="258"/>
      <c r="H6" s="258"/>
      <c r="I6" s="258"/>
      <c r="J6" s="258"/>
    </row>
    <row r="7" spans="1:11" ht="18.75" x14ac:dyDescent="0.3">
      <c r="B7" s="259" t="s">
        <v>137</v>
      </c>
      <c r="C7" s="259"/>
      <c r="D7" s="259"/>
      <c r="E7" s="259"/>
      <c r="F7" s="259"/>
      <c r="G7" s="259"/>
      <c r="H7" s="259"/>
      <c r="I7" s="259"/>
      <c r="J7" s="259"/>
    </row>
    <row r="8" spans="1:11" x14ac:dyDescent="0.25">
      <c r="B8" s="9"/>
      <c r="C8" s="260" t="s">
        <v>50</v>
      </c>
      <c r="D8" s="260"/>
      <c r="E8" s="260"/>
      <c r="F8" s="261"/>
      <c r="G8" s="261"/>
      <c r="H8" s="261"/>
      <c r="I8" s="261"/>
      <c r="J8" s="33"/>
    </row>
    <row r="9" spans="1:11" x14ac:dyDescent="0.25">
      <c r="D9" s="96"/>
      <c r="E9" s="7"/>
      <c r="F9" s="39"/>
      <c r="G9" s="7"/>
      <c r="H9" s="7"/>
    </row>
    <row r="11" spans="1:11" ht="56.25" customHeight="1" x14ac:dyDescent="0.25">
      <c r="A11" s="264" t="s">
        <v>0</v>
      </c>
      <c r="B11" s="264" t="s">
        <v>1</v>
      </c>
      <c r="C11" s="256" t="s">
        <v>2</v>
      </c>
      <c r="D11" s="256"/>
      <c r="E11" s="256"/>
      <c r="F11" s="254" t="s">
        <v>6</v>
      </c>
      <c r="G11" s="255" t="s">
        <v>7</v>
      </c>
      <c r="H11" s="255"/>
      <c r="I11" s="255"/>
      <c r="J11" s="255"/>
      <c r="K11" s="253" t="s">
        <v>11</v>
      </c>
    </row>
    <row r="12" spans="1:11" ht="90.75" customHeight="1" x14ac:dyDescent="0.25">
      <c r="A12" s="264"/>
      <c r="B12" s="264"/>
      <c r="C12" s="82" t="s">
        <v>3</v>
      </c>
      <c r="D12" s="97" t="s">
        <v>4</v>
      </c>
      <c r="E12" s="12" t="s">
        <v>5</v>
      </c>
      <c r="F12" s="254"/>
      <c r="G12" s="85" t="s">
        <v>8</v>
      </c>
      <c r="H12" s="82" t="s">
        <v>9</v>
      </c>
      <c r="I12" s="20" t="s">
        <v>10</v>
      </c>
      <c r="J12" s="84" t="s">
        <v>9</v>
      </c>
      <c r="K12" s="253"/>
    </row>
    <row r="13" spans="1:11" ht="51" customHeight="1" x14ac:dyDescent="0.3">
      <c r="A13" s="262" t="s">
        <v>13</v>
      </c>
      <c r="B13" s="52" t="s">
        <v>22</v>
      </c>
      <c r="C13" s="44"/>
      <c r="D13" s="98">
        <v>10.39</v>
      </c>
      <c r="E13" s="13" t="s">
        <v>23</v>
      </c>
      <c r="F13" s="40">
        <f>D13</f>
        <v>10.39</v>
      </c>
      <c r="G13" s="45"/>
      <c r="H13" s="45"/>
      <c r="I13" s="13" t="s">
        <v>23</v>
      </c>
      <c r="J13" s="26">
        <v>10.39</v>
      </c>
      <c r="K13" s="37">
        <v>0</v>
      </c>
    </row>
    <row r="14" spans="1:11" x14ac:dyDescent="0.25">
      <c r="A14" s="266"/>
      <c r="B14" s="45"/>
      <c r="C14" s="44"/>
      <c r="D14" s="98">
        <f>0.14+0.14</f>
        <v>0.28000000000000003</v>
      </c>
      <c r="E14" s="13" t="s">
        <v>24</v>
      </c>
      <c r="F14" s="40">
        <f t="shared" ref="F14:F77" si="0">D14</f>
        <v>0.28000000000000003</v>
      </c>
      <c r="G14" s="45"/>
      <c r="H14" s="45"/>
      <c r="I14" s="13" t="s">
        <v>24</v>
      </c>
      <c r="J14" s="46">
        <f>0.14+0.14</f>
        <v>0.28000000000000003</v>
      </c>
      <c r="K14" s="46">
        <v>0</v>
      </c>
    </row>
    <row r="15" spans="1:11" ht="51" customHeight="1" x14ac:dyDescent="0.25">
      <c r="A15" s="267"/>
      <c r="B15" s="45"/>
      <c r="C15" s="44"/>
      <c r="D15" s="98">
        <v>4.3499999999999996</v>
      </c>
      <c r="E15" s="13" t="s">
        <v>117</v>
      </c>
      <c r="F15" s="40">
        <f t="shared" si="0"/>
        <v>4.3499999999999996</v>
      </c>
      <c r="G15" s="45"/>
      <c r="H15" s="45"/>
      <c r="I15" s="13" t="s">
        <v>117</v>
      </c>
      <c r="J15" s="26">
        <v>4.3499999999999996</v>
      </c>
      <c r="K15" s="46">
        <v>0</v>
      </c>
    </row>
    <row r="16" spans="1:11" x14ac:dyDescent="0.25">
      <c r="A16" s="267"/>
      <c r="B16" s="45"/>
      <c r="C16" s="44"/>
      <c r="D16" s="98">
        <v>4.1539999999999999</v>
      </c>
      <c r="E16" s="13" t="s">
        <v>25</v>
      </c>
      <c r="F16" s="40">
        <f t="shared" si="0"/>
        <v>4.1539999999999999</v>
      </c>
      <c r="G16" s="45"/>
      <c r="H16" s="45"/>
      <c r="I16" s="13" t="s">
        <v>25</v>
      </c>
      <c r="J16" s="26">
        <v>4.1539999999999999</v>
      </c>
      <c r="K16" s="46">
        <v>0</v>
      </c>
    </row>
    <row r="17" spans="1:11" ht="30" customHeight="1" x14ac:dyDescent="0.25">
      <c r="A17" s="267"/>
      <c r="B17" s="45"/>
      <c r="C17" s="44"/>
      <c r="D17" s="98">
        <v>10.898999999999999</v>
      </c>
      <c r="E17" s="13" t="s">
        <v>26</v>
      </c>
      <c r="F17" s="40">
        <f t="shared" si="0"/>
        <v>10.898999999999999</v>
      </c>
      <c r="G17" s="45"/>
      <c r="H17" s="45"/>
      <c r="I17" s="13" t="s">
        <v>26</v>
      </c>
      <c r="J17" s="26">
        <v>10.898999999999999</v>
      </c>
      <c r="K17" s="46">
        <v>0</v>
      </c>
    </row>
    <row r="18" spans="1:11" ht="32.25" customHeight="1" x14ac:dyDescent="0.25">
      <c r="A18" s="267"/>
      <c r="B18" s="45"/>
      <c r="C18" s="44"/>
      <c r="D18" s="98">
        <v>0.3</v>
      </c>
      <c r="E18" s="13" t="s">
        <v>115</v>
      </c>
      <c r="F18" s="40">
        <f t="shared" si="0"/>
        <v>0.3</v>
      </c>
      <c r="G18" s="45"/>
      <c r="H18" s="45"/>
      <c r="I18" s="13" t="s">
        <v>116</v>
      </c>
      <c r="J18" s="26">
        <v>0.3</v>
      </c>
      <c r="K18" s="46">
        <v>0</v>
      </c>
    </row>
    <row r="19" spans="1:11" ht="31.5" customHeight="1" x14ac:dyDescent="0.25">
      <c r="A19" s="267"/>
      <c r="B19" s="45"/>
      <c r="C19" s="44"/>
      <c r="D19" s="99">
        <v>0.27</v>
      </c>
      <c r="E19" s="14" t="s">
        <v>27</v>
      </c>
      <c r="F19" s="40">
        <f t="shared" si="0"/>
        <v>0.27</v>
      </c>
      <c r="G19" s="45"/>
      <c r="H19" s="45"/>
      <c r="I19" s="14" t="s">
        <v>27</v>
      </c>
      <c r="J19" s="27">
        <v>0.27</v>
      </c>
      <c r="K19" s="46">
        <v>0</v>
      </c>
    </row>
    <row r="20" spans="1:11" x14ac:dyDescent="0.25">
      <c r="A20" s="267"/>
      <c r="B20" s="45"/>
      <c r="C20" s="44"/>
      <c r="D20" s="98">
        <v>0.63</v>
      </c>
      <c r="E20" s="13" t="s">
        <v>113</v>
      </c>
      <c r="F20" s="40">
        <f t="shared" si="0"/>
        <v>0.63</v>
      </c>
      <c r="G20" s="45"/>
      <c r="H20" s="45"/>
      <c r="I20" s="13" t="s">
        <v>113</v>
      </c>
      <c r="J20" s="26">
        <v>0.63</v>
      </c>
      <c r="K20" s="46">
        <v>0</v>
      </c>
    </row>
    <row r="21" spans="1:11" ht="30" x14ac:dyDescent="0.25">
      <c r="A21" s="267"/>
      <c r="B21" s="45"/>
      <c r="C21" s="44"/>
      <c r="D21" s="98">
        <v>1.1399999999999999</v>
      </c>
      <c r="E21" s="13" t="s">
        <v>28</v>
      </c>
      <c r="F21" s="40">
        <f t="shared" si="0"/>
        <v>1.1399999999999999</v>
      </c>
      <c r="G21" s="45"/>
      <c r="H21" s="45"/>
      <c r="I21" s="13" t="s">
        <v>28</v>
      </c>
      <c r="J21" s="26">
        <v>1.1399999999999999</v>
      </c>
      <c r="K21" s="46">
        <v>0</v>
      </c>
    </row>
    <row r="22" spans="1:11" x14ac:dyDescent="0.25">
      <c r="A22" s="267"/>
      <c r="B22" s="45"/>
      <c r="C22" s="44"/>
      <c r="D22" s="98">
        <v>1.165</v>
      </c>
      <c r="E22" s="13" t="s">
        <v>29</v>
      </c>
      <c r="F22" s="40">
        <f t="shared" si="0"/>
        <v>1.165</v>
      </c>
      <c r="G22" s="45"/>
      <c r="H22" s="45"/>
      <c r="I22" s="13" t="s">
        <v>29</v>
      </c>
      <c r="J22" s="26">
        <v>1.165</v>
      </c>
      <c r="K22" s="46">
        <v>0</v>
      </c>
    </row>
    <row r="23" spans="1:11" x14ac:dyDescent="0.25">
      <c r="A23" s="267"/>
      <c r="B23" s="45"/>
      <c r="C23" s="44"/>
      <c r="D23" s="98">
        <v>2.4540000000000002</v>
      </c>
      <c r="E23" s="13" t="s">
        <v>30</v>
      </c>
      <c r="F23" s="40">
        <f t="shared" si="0"/>
        <v>2.4540000000000002</v>
      </c>
      <c r="G23" s="45"/>
      <c r="H23" s="45"/>
      <c r="I23" s="13" t="s">
        <v>30</v>
      </c>
      <c r="J23" s="26">
        <v>2.4540000000000002</v>
      </c>
      <c r="K23" s="46">
        <v>0</v>
      </c>
    </row>
    <row r="24" spans="1:11" x14ac:dyDescent="0.25">
      <c r="A24" s="267"/>
      <c r="B24" s="45"/>
      <c r="C24" s="45"/>
      <c r="D24" s="100">
        <v>0.19</v>
      </c>
      <c r="E24" s="48" t="s">
        <v>31</v>
      </c>
      <c r="F24" s="40">
        <f t="shared" si="0"/>
        <v>0.19</v>
      </c>
      <c r="G24" s="45"/>
      <c r="H24" s="45"/>
      <c r="I24" s="49" t="s">
        <v>31</v>
      </c>
      <c r="J24" s="47">
        <v>0.19</v>
      </c>
      <c r="K24" s="46">
        <v>0</v>
      </c>
    </row>
    <row r="25" spans="1:11" x14ac:dyDescent="0.25">
      <c r="A25" s="267"/>
      <c r="B25" s="45"/>
      <c r="C25" s="45"/>
      <c r="D25" s="101">
        <v>0.19</v>
      </c>
      <c r="E25" s="45" t="s">
        <v>32</v>
      </c>
      <c r="F25" s="40">
        <f t="shared" si="0"/>
        <v>0.19</v>
      </c>
      <c r="G25" s="45"/>
      <c r="H25" s="45"/>
      <c r="I25" s="51" t="s">
        <v>32</v>
      </c>
      <c r="J25" s="50">
        <v>0.19</v>
      </c>
      <c r="K25" s="46">
        <v>0</v>
      </c>
    </row>
    <row r="26" spans="1:11" ht="36" customHeight="1" x14ac:dyDescent="0.3">
      <c r="A26" s="267"/>
      <c r="B26" s="52" t="s">
        <v>33</v>
      </c>
      <c r="C26" s="45"/>
      <c r="D26" s="101">
        <v>2.2000000000000002</v>
      </c>
      <c r="E26" s="53" t="s">
        <v>34</v>
      </c>
      <c r="F26" s="40">
        <f t="shared" si="0"/>
        <v>2.2000000000000002</v>
      </c>
      <c r="G26" s="45"/>
      <c r="H26" s="53"/>
      <c r="I26" s="54" t="s">
        <v>34</v>
      </c>
      <c r="J26" s="46">
        <v>2.2000000000000002</v>
      </c>
      <c r="K26" s="46">
        <v>0</v>
      </c>
    </row>
    <row r="27" spans="1:11" ht="29.25" customHeight="1" x14ac:dyDescent="0.25">
      <c r="A27" s="267"/>
      <c r="B27" s="45"/>
      <c r="C27" s="45"/>
      <c r="D27" s="101">
        <v>2</v>
      </c>
      <c r="E27" s="53" t="s">
        <v>34</v>
      </c>
      <c r="F27" s="40">
        <f t="shared" si="0"/>
        <v>2</v>
      </c>
      <c r="G27" s="45"/>
      <c r="H27" s="45"/>
      <c r="I27" s="54" t="s">
        <v>34</v>
      </c>
      <c r="J27" s="46">
        <v>2</v>
      </c>
      <c r="K27" s="46">
        <v>0</v>
      </c>
    </row>
    <row r="28" spans="1:11" ht="46.5" customHeight="1" x14ac:dyDescent="0.25">
      <c r="A28" s="267"/>
      <c r="B28" s="45"/>
      <c r="C28" s="45"/>
      <c r="D28" s="101">
        <v>0.69499999999999995</v>
      </c>
      <c r="E28" s="55" t="s">
        <v>118</v>
      </c>
      <c r="F28" s="40">
        <f t="shared" si="0"/>
        <v>0.69499999999999995</v>
      </c>
      <c r="G28" s="45"/>
      <c r="H28" s="45"/>
      <c r="I28" s="55" t="s">
        <v>118</v>
      </c>
      <c r="J28" s="50">
        <v>0.69499999999999995</v>
      </c>
      <c r="K28" s="46">
        <v>0</v>
      </c>
    </row>
    <row r="29" spans="1:11" ht="30.75" customHeight="1" x14ac:dyDescent="0.25">
      <c r="A29" s="267"/>
      <c r="B29" s="45"/>
      <c r="C29" s="45"/>
      <c r="D29" s="101">
        <f>0.3+0.3</f>
        <v>0.6</v>
      </c>
      <c r="E29" s="55" t="s">
        <v>119</v>
      </c>
      <c r="F29" s="40">
        <f t="shared" si="0"/>
        <v>0.6</v>
      </c>
      <c r="G29" s="45"/>
      <c r="H29" s="45"/>
      <c r="I29" s="56" t="s">
        <v>35</v>
      </c>
      <c r="J29" s="46">
        <f>0.3+0.3</f>
        <v>0.6</v>
      </c>
      <c r="K29" s="46">
        <v>0</v>
      </c>
    </row>
    <row r="30" spans="1:11" x14ac:dyDescent="0.25">
      <c r="A30" s="267"/>
      <c r="B30" s="45"/>
      <c r="C30" s="45"/>
      <c r="D30" s="101">
        <f>0.14+0.14</f>
        <v>0.28000000000000003</v>
      </c>
      <c r="E30" s="45" t="s">
        <v>24</v>
      </c>
      <c r="F30" s="40">
        <f t="shared" si="0"/>
        <v>0.28000000000000003</v>
      </c>
      <c r="G30" s="45"/>
      <c r="H30" s="45"/>
      <c r="I30" s="51" t="s">
        <v>24</v>
      </c>
      <c r="J30" s="50">
        <f>0.14+0.14</f>
        <v>0.28000000000000003</v>
      </c>
      <c r="K30" s="46">
        <v>0</v>
      </c>
    </row>
    <row r="31" spans="1:11" x14ac:dyDescent="0.25">
      <c r="A31" s="267"/>
      <c r="B31" s="45"/>
      <c r="C31" s="45"/>
      <c r="D31" s="101">
        <f>1.462</f>
        <v>1.462</v>
      </c>
      <c r="E31" s="45" t="s">
        <v>36</v>
      </c>
      <c r="F31" s="40">
        <f t="shared" si="0"/>
        <v>1.462</v>
      </c>
      <c r="G31" s="45"/>
      <c r="H31" s="45"/>
      <c r="I31" s="51" t="s">
        <v>36</v>
      </c>
      <c r="J31" s="50">
        <f>1.462</f>
        <v>1.462</v>
      </c>
      <c r="K31" s="46">
        <v>0</v>
      </c>
    </row>
    <row r="32" spans="1:11" ht="15.75" customHeight="1" x14ac:dyDescent="0.25">
      <c r="A32" s="267"/>
      <c r="B32" s="45"/>
      <c r="C32" s="45"/>
      <c r="D32" s="101">
        <f>4.154*2</f>
        <v>8.3079999999999998</v>
      </c>
      <c r="E32" s="55" t="s">
        <v>37</v>
      </c>
      <c r="F32" s="40">
        <f t="shared" si="0"/>
        <v>8.3079999999999998</v>
      </c>
      <c r="G32" s="45"/>
      <c r="H32" s="45"/>
      <c r="I32" s="56" t="s">
        <v>37</v>
      </c>
      <c r="J32" s="50">
        <f>4.154*2</f>
        <v>8.3079999999999998</v>
      </c>
      <c r="K32" s="46">
        <v>0</v>
      </c>
    </row>
    <row r="33" spans="1:11" ht="55.5" customHeight="1" x14ac:dyDescent="0.25">
      <c r="A33" s="267"/>
      <c r="B33" s="45"/>
      <c r="C33" s="45"/>
      <c r="D33" s="101">
        <f>20.78</f>
        <v>20.78</v>
      </c>
      <c r="E33" s="13" t="s">
        <v>23</v>
      </c>
      <c r="F33" s="40">
        <f t="shared" si="0"/>
        <v>20.78</v>
      </c>
      <c r="G33" s="45"/>
      <c r="H33" s="45"/>
      <c r="I33" s="13" t="s">
        <v>23</v>
      </c>
      <c r="J33" s="50">
        <f>20.78</f>
        <v>20.78</v>
      </c>
      <c r="K33" s="46">
        <v>0</v>
      </c>
    </row>
    <row r="34" spans="1:11" ht="32.25" customHeight="1" x14ac:dyDescent="0.25">
      <c r="A34" s="267"/>
      <c r="B34" s="45"/>
      <c r="C34" s="45"/>
      <c r="D34" s="101">
        <v>0.6</v>
      </c>
      <c r="E34" s="13" t="s">
        <v>38</v>
      </c>
      <c r="F34" s="40">
        <f t="shared" si="0"/>
        <v>0.6</v>
      </c>
      <c r="G34" s="45"/>
      <c r="H34" s="45"/>
      <c r="I34" s="13" t="s">
        <v>38</v>
      </c>
      <c r="J34" s="50">
        <v>0.6</v>
      </c>
      <c r="K34" s="46">
        <v>0</v>
      </c>
    </row>
    <row r="35" spans="1:11" ht="13.5" customHeight="1" x14ac:dyDescent="0.25">
      <c r="A35" s="267"/>
      <c r="B35" s="45"/>
      <c r="C35" s="45"/>
      <c r="D35" s="101">
        <v>0.25</v>
      </c>
      <c r="E35" s="13" t="s">
        <v>39</v>
      </c>
      <c r="F35" s="40">
        <f t="shared" si="0"/>
        <v>0.25</v>
      </c>
      <c r="G35" s="45"/>
      <c r="H35" s="45"/>
      <c r="I35" s="13" t="s">
        <v>39</v>
      </c>
      <c r="J35" s="50">
        <v>0.25</v>
      </c>
      <c r="K35" s="46">
        <v>0</v>
      </c>
    </row>
    <row r="36" spans="1:11" ht="35.25" customHeight="1" x14ac:dyDescent="0.25">
      <c r="A36" s="267"/>
      <c r="B36" s="45"/>
      <c r="C36" s="45"/>
      <c r="D36" s="101">
        <f>0.285+0.27</f>
        <v>0.55499999999999994</v>
      </c>
      <c r="E36" s="13" t="s">
        <v>40</v>
      </c>
      <c r="F36" s="40">
        <f t="shared" si="0"/>
        <v>0.55499999999999994</v>
      </c>
      <c r="G36" s="45"/>
      <c r="H36" s="45"/>
      <c r="I36" s="13" t="s">
        <v>40</v>
      </c>
      <c r="J36" s="46">
        <f>0.285+0.27</f>
        <v>0.55499999999999994</v>
      </c>
      <c r="K36" s="46">
        <v>0</v>
      </c>
    </row>
    <row r="37" spans="1:11" ht="35.25" customHeight="1" x14ac:dyDescent="0.25">
      <c r="A37" s="267"/>
      <c r="B37" s="45"/>
      <c r="C37" s="45"/>
      <c r="D37" s="101">
        <f>0.27+0.285</f>
        <v>0.55499999999999994</v>
      </c>
      <c r="E37" s="14" t="s">
        <v>27</v>
      </c>
      <c r="F37" s="40">
        <f t="shared" si="0"/>
        <v>0.55499999999999994</v>
      </c>
      <c r="G37" s="45"/>
      <c r="H37" s="45"/>
      <c r="I37" s="14" t="s">
        <v>27</v>
      </c>
      <c r="J37" s="50">
        <f>0.27+0.285</f>
        <v>0.55499999999999994</v>
      </c>
      <c r="K37" s="46">
        <v>0</v>
      </c>
    </row>
    <row r="38" spans="1:11" x14ac:dyDescent="0.25">
      <c r="A38" s="267"/>
      <c r="B38" s="45"/>
      <c r="C38" s="45"/>
      <c r="D38" s="101">
        <v>1.1359999999999999</v>
      </c>
      <c r="E38" s="13" t="s">
        <v>41</v>
      </c>
      <c r="F38" s="40">
        <f t="shared" si="0"/>
        <v>1.1359999999999999</v>
      </c>
      <c r="G38" s="45"/>
      <c r="H38" s="45"/>
      <c r="I38" s="13" t="s">
        <v>41</v>
      </c>
      <c r="J38" s="50">
        <v>1.1359999999999999</v>
      </c>
      <c r="K38" s="46">
        <v>0</v>
      </c>
    </row>
    <row r="39" spans="1:11" ht="33" customHeight="1" x14ac:dyDescent="0.25">
      <c r="A39" s="267"/>
      <c r="B39" s="45"/>
      <c r="C39" s="45"/>
      <c r="D39" s="101">
        <v>1.28</v>
      </c>
      <c r="E39" s="13" t="s">
        <v>42</v>
      </c>
      <c r="F39" s="40">
        <f t="shared" si="0"/>
        <v>1.28</v>
      </c>
      <c r="G39" s="45"/>
      <c r="H39" s="45"/>
      <c r="I39" s="13" t="s">
        <v>42</v>
      </c>
      <c r="J39" s="50">
        <v>1.28</v>
      </c>
      <c r="K39" s="46">
        <v>0</v>
      </c>
    </row>
    <row r="40" spans="1:11" ht="31.5" customHeight="1" x14ac:dyDescent="0.25">
      <c r="A40" s="267"/>
      <c r="B40" s="45"/>
      <c r="C40" s="45"/>
      <c r="D40" s="101">
        <v>1.1399999999999999</v>
      </c>
      <c r="E40" s="13" t="s">
        <v>28</v>
      </c>
      <c r="F40" s="40">
        <f t="shared" si="0"/>
        <v>1.1399999999999999</v>
      </c>
      <c r="G40" s="45"/>
      <c r="H40" s="45"/>
      <c r="I40" s="13" t="s">
        <v>28</v>
      </c>
      <c r="J40" s="50">
        <v>1.1399999999999999</v>
      </c>
      <c r="K40" s="46">
        <v>0</v>
      </c>
    </row>
    <row r="41" spans="1:11" ht="21" customHeight="1" x14ac:dyDescent="0.25">
      <c r="A41" s="267"/>
      <c r="B41" s="45"/>
      <c r="C41" s="45"/>
      <c r="D41" s="101">
        <v>2.75</v>
      </c>
      <c r="E41" s="13" t="s">
        <v>43</v>
      </c>
      <c r="F41" s="40">
        <f t="shared" si="0"/>
        <v>2.75</v>
      </c>
      <c r="G41" s="45"/>
      <c r="H41" s="45"/>
      <c r="I41" s="13" t="s">
        <v>43</v>
      </c>
      <c r="J41" s="50">
        <v>2.75</v>
      </c>
      <c r="K41" s="46">
        <v>0</v>
      </c>
    </row>
    <row r="42" spans="1:11" ht="29.25" customHeight="1" x14ac:dyDescent="0.25">
      <c r="A42" s="267"/>
      <c r="B42" s="45"/>
      <c r="C42" s="45"/>
      <c r="D42" s="101">
        <v>2.33</v>
      </c>
      <c r="E42" s="55" t="s">
        <v>44</v>
      </c>
      <c r="F42" s="40">
        <f t="shared" si="0"/>
        <v>2.33</v>
      </c>
      <c r="G42" s="45"/>
      <c r="H42" s="45"/>
      <c r="I42" s="56" t="s">
        <v>44</v>
      </c>
      <c r="J42" s="50">
        <v>2.33</v>
      </c>
      <c r="K42" s="46">
        <v>0</v>
      </c>
    </row>
    <row r="43" spans="1:11" ht="54" customHeight="1" x14ac:dyDescent="0.3">
      <c r="A43" s="267"/>
      <c r="B43" s="52" t="s">
        <v>45</v>
      </c>
      <c r="C43" s="45"/>
      <c r="D43" s="102">
        <v>26.299499999999998</v>
      </c>
      <c r="E43" s="55" t="s">
        <v>46</v>
      </c>
      <c r="F43" s="43">
        <f t="shared" si="0"/>
        <v>26.299499999999998</v>
      </c>
      <c r="G43" s="45"/>
      <c r="H43" s="45"/>
      <c r="I43" s="56" t="s">
        <v>46</v>
      </c>
      <c r="J43" s="57">
        <v>26.299499999999998</v>
      </c>
      <c r="K43" s="16">
        <v>0</v>
      </c>
    </row>
    <row r="44" spans="1:11" ht="75" x14ac:dyDescent="0.3">
      <c r="A44" s="267"/>
      <c r="B44" s="52" t="s">
        <v>47</v>
      </c>
      <c r="C44" s="45"/>
      <c r="D44" s="101">
        <f>3.00392+2.83785+2.88258</f>
        <v>8.7243500000000012</v>
      </c>
      <c r="E44" s="55" t="s">
        <v>51</v>
      </c>
      <c r="F44" s="40">
        <f t="shared" si="0"/>
        <v>8.7243500000000012</v>
      </c>
      <c r="G44" s="45"/>
      <c r="H44" s="58"/>
      <c r="I44" s="56" t="s">
        <v>51</v>
      </c>
      <c r="J44" s="46">
        <f>3.00392+2.59432</f>
        <v>5.5982400000000005</v>
      </c>
      <c r="K44" s="46">
        <f>2.83785+0.28826</f>
        <v>3.1261100000000002</v>
      </c>
    </row>
    <row r="45" spans="1:11" x14ac:dyDescent="0.25">
      <c r="A45" s="267"/>
      <c r="B45" s="55"/>
      <c r="C45" s="45"/>
      <c r="D45" s="101">
        <v>2.4099999999999998E-3</v>
      </c>
      <c r="E45" s="55" t="s">
        <v>52</v>
      </c>
      <c r="F45" s="40">
        <f t="shared" si="0"/>
        <v>2.4099999999999998E-3</v>
      </c>
      <c r="G45" s="45"/>
      <c r="H45" s="58"/>
      <c r="I45" s="56" t="s">
        <v>52</v>
      </c>
      <c r="J45" s="46">
        <v>0</v>
      </c>
      <c r="K45" s="50">
        <v>2.4099999999999998E-3</v>
      </c>
    </row>
    <row r="46" spans="1:11" x14ac:dyDescent="0.25">
      <c r="A46" s="267"/>
      <c r="B46" s="55"/>
      <c r="C46" s="45"/>
      <c r="D46" s="101">
        <v>3.739E-2</v>
      </c>
      <c r="E46" s="55" t="s">
        <v>53</v>
      </c>
      <c r="F46" s="40">
        <f t="shared" si="0"/>
        <v>3.739E-2</v>
      </c>
      <c r="G46" s="45"/>
      <c r="H46" s="58"/>
      <c r="I46" s="56" t="s">
        <v>53</v>
      </c>
      <c r="J46" s="46">
        <f>0.03552</f>
        <v>3.5520000000000003E-2</v>
      </c>
      <c r="K46" s="46">
        <f>0.00187</f>
        <v>1.8699999999999999E-3</v>
      </c>
    </row>
    <row r="47" spans="1:11" ht="17.25" customHeight="1" x14ac:dyDescent="0.25">
      <c r="A47" s="267"/>
      <c r="B47" s="55"/>
      <c r="C47" s="45"/>
      <c r="D47" s="103">
        <v>1.917E-2</v>
      </c>
      <c r="E47" s="55" t="s">
        <v>107</v>
      </c>
      <c r="F47" s="40">
        <f t="shared" si="0"/>
        <v>1.917E-2</v>
      </c>
      <c r="G47" s="45"/>
      <c r="H47" s="58"/>
      <c r="I47" s="56" t="s">
        <v>107</v>
      </c>
      <c r="J47" s="59">
        <v>1.917E-2</v>
      </c>
      <c r="K47" s="46">
        <v>0</v>
      </c>
    </row>
    <row r="48" spans="1:11" ht="15.75" x14ac:dyDescent="0.25">
      <c r="A48" s="267"/>
      <c r="B48" s="55"/>
      <c r="C48" s="45"/>
      <c r="D48" s="103">
        <v>5.1700000000000003E-2</v>
      </c>
      <c r="E48" s="55" t="s">
        <v>54</v>
      </c>
      <c r="F48" s="40">
        <f t="shared" si="0"/>
        <v>5.1700000000000003E-2</v>
      </c>
      <c r="G48" s="45"/>
      <c r="H48" s="58"/>
      <c r="I48" s="56" t="s">
        <v>54</v>
      </c>
      <c r="J48" s="59">
        <v>5.1700000000000003E-2</v>
      </c>
      <c r="K48" s="46">
        <v>0</v>
      </c>
    </row>
    <row r="49" spans="1:11" ht="17.25" customHeight="1" x14ac:dyDescent="0.25">
      <c r="A49" s="267"/>
      <c r="B49" s="55"/>
      <c r="C49" s="45"/>
      <c r="D49" s="103">
        <f>0.24516+0.26711+0.24289</f>
        <v>0.75516000000000005</v>
      </c>
      <c r="E49" s="55" t="s">
        <v>55</v>
      </c>
      <c r="F49" s="40">
        <f t="shared" si="0"/>
        <v>0.75516000000000005</v>
      </c>
      <c r="G49" s="45"/>
      <c r="H49" s="58"/>
      <c r="I49" s="56" t="s">
        <v>55</v>
      </c>
      <c r="J49" s="46">
        <f>0.24516+0.26711+0.12145</f>
        <v>0.63372000000000006</v>
      </c>
      <c r="K49" s="46">
        <f>0.12144</f>
        <v>0.12144000000000001</v>
      </c>
    </row>
    <row r="50" spans="1:11" ht="15.75" x14ac:dyDescent="0.25">
      <c r="A50" s="267"/>
      <c r="B50" s="55"/>
      <c r="C50" s="45"/>
      <c r="D50" s="103">
        <f>0.8294</f>
        <v>0.82940000000000003</v>
      </c>
      <c r="E50" s="55" t="s">
        <v>56</v>
      </c>
      <c r="F50" s="40">
        <f t="shared" si="0"/>
        <v>0.82940000000000003</v>
      </c>
      <c r="G50" s="45"/>
      <c r="H50" s="58"/>
      <c r="I50" s="56" t="s">
        <v>56</v>
      </c>
      <c r="J50" s="46">
        <f>0.26158</f>
        <v>0.26157999999999998</v>
      </c>
      <c r="K50" s="46">
        <f>0.56782</f>
        <v>0.56781999999999999</v>
      </c>
    </row>
    <row r="51" spans="1:11" ht="17.25" customHeight="1" x14ac:dyDescent="0.25">
      <c r="A51" s="267"/>
      <c r="B51" s="55"/>
      <c r="C51" s="45"/>
      <c r="D51" s="103">
        <f>0.68266+0.62616+1.87853</f>
        <v>3.1873500000000003</v>
      </c>
      <c r="E51" s="55" t="s">
        <v>57</v>
      </c>
      <c r="F51" s="40">
        <f t="shared" si="0"/>
        <v>3.1873500000000003</v>
      </c>
      <c r="G51" s="45"/>
      <c r="H51" s="58"/>
      <c r="I51" s="56" t="s">
        <v>57</v>
      </c>
      <c r="J51" s="46">
        <f>0.68266+0.62616+0.06262</f>
        <v>1.37144</v>
      </c>
      <c r="K51" s="46">
        <v>1.8159099999999999</v>
      </c>
    </row>
    <row r="52" spans="1:11" ht="15.75" x14ac:dyDescent="0.25">
      <c r="A52" s="267"/>
      <c r="B52" s="55"/>
      <c r="C52" s="45"/>
      <c r="D52" s="103">
        <v>0.51400000000000001</v>
      </c>
      <c r="E52" s="55" t="s">
        <v>108</v>
      </c>
      <c r="F52" s="40">
        <f t="shared" si="0"/>
        <v>0.51400000000000001</v>
      </c>
      <c r="G52" s="45"/>
      <c r="H52" s="58"/>
      <c r="I52" s="56" t="s">
        <v>108</v>
      </c>
      <c r="J52" s="46">
        <f>0.257</f>
        <v>0.25700000000000001</v>
      </c>
      <c r="K52" s="46">
        <f>0.257</f>
        <v>0.25700000000000001</v>
      </c>
    </row>
    <row r="53" spans="1:11" ht="13.5" customHeight="1" x14ac:dyDescent="0.25">
      <c r="A53" s="267"/>
      <c r="B53" s="55"/>
      <c r="C53" s="45"/>
      <c r="D53" s="103">
        <v>1.3168500000000001</v>
      </c>
      <c r="E53" s="55" t="s">
        <v>58</v>
      </c>
      <c r="F53" s="40">
        <f t="shared" si="0"/>
        <v>1.3168500000000001</v>
      </c>
      <c r="G53" s="45"/>
      <c r="H53" s="58"/>
      <c r="I53" s="56" t="s">
        <v>58</v>
      </c>
      <c r="J53" s="46">
        <v>0</v>
      </c>
      <c r="K53" s="59">
        <v>1.3168500000000001</v>
      </c>
    </row>
    <row r="54" spans="1:11" ht="16.5" customHeight="1" x14ac:dyDescent="0.25">
      <c r="A54" s="267"/>
      <c r="B54" s="55"/>
      <c r="C54" s="45"/>
      <c r="D54" s="101">
        <v>0.88980000000000004</v>
      </c>
      <c r="E54" s="55" t="s">
        <v>59</v>
      </c>
      <c r="F54" s="40">
        <f t="shared" si="0"/>
        <v>0.88980000000000004</v>
      </c>
      <c r="G54" s="45"/>
      <c r="H54" s="58"/>
      <c r="I54" s="56" t="s">
        <v>59</v>
      </c>
      <c r="J54" s="46">
        <v>5.9319999999999998E-2</v>
      </c>
      <c r="K54" s="46">
        <f>0.83048</f>
        <v>0.83048</v>
      </c>
    </row>
    <row r="55" spans="1:11" ht="14.25" customHeight="1" x14ac:dyDescent="0.25">
      <c r="A55" s="267"/>
      <c r="B55" s="55"/>
      <c r="C55" s="45"/>
      <c r="D55" s="103">
        <f>0.11771+0.0749</f>
        <v>0.19261</v>
      </c>
      <c r="E55" s="55" t="s">
        <v>109</v>
      </c>
      <c r="F55" s="40">
        <f t="shared" si="0"/>
        <v>0.19261</v>
      </c>
      <c r="G55" s="45"/>
      <c r="H55" s="58"/>
      <c r="I55" s="56" t="s">
        <v>109</v>
      </c>
      <c r="J55" s="59">
        <f>0.11771+0.0749</f>
        <v>0.19261</v>
      </c>
      <c r="K55" s="46">
        <v>0</v>
      </c>
    </row>
    <row r="56" spans="1:11" ht="15" customHeight="1" x14ac:dyDescent="0.25">
      <c r="A56" s="267"/>
      <c r="B56" s="55"/>
      <c r="C56" s="45"/>
      <c r="D56" s="103">
        <f>0.0737+0.07486+0.98986+0.03296</f>
        <v>1.1713800000000001</v>
      </c>
      <c r="E56" s="55" t="s">
        <v>60</v>
      </c>
      <c r="F56" s="40">
        <f t="shared" si="0"/>
        <v>1.1713800000000001</v>
      </c>
      <c r="G56" s="45"/>
      <c r="H56" s="58"/>
      <c r="I56" s="56" t="s">
        <v>60</v>
      </c>
      <c r="J56" s="46">
        <f>2.1018+0.01483-1.73853</f>
        <v>0.37809999999999988</v>
      </c>
      <c r="K56" s="46">
        <f>0.77515+0.01813</f>
        <v>0.79327999999999999</v>
      </c>
    </row>
    <row r="57" spans="1:11" ht="14.25" customHeight="1" x14ac:dyDescent="0.25">
      <c r="A57" s="267"/>
      <c r="B57" s="55"/>
      <c r="C57" s="45"/>
      <c r="D57" s="103">
        <f>0.02842</f>
        <v>2.8420000000000001E-2</v>
      </c>
      <c r="E57" s="55" t="s">
        <v>61</v>
      </c>
      <c r="F57" s="40">
        <f t="shared" si="0"/>
        <v>2.8420000000000001E-2</v>
      </c>
      <c r="G57" s="45"/>
      <c r="H57" s="58"/>
      <c r="I57" s="56" t="s">
        <v>61</v>
      </c>
      <c r="J57" s="46">
        <f>0.01421</f>
        <v>1.421E-2</v>
      </c>
      <c r="K57" s="46">
        <f>0.01421</f>
        <v>1.421E-2</v>
      </c>
    </row>
    <row r="58" spans="1:11" ht="14.25" customHeight="1" x14ac:dyDescent="0.25">
      <c r="A58" s="267"/>
      <c r="B58" s="55"/>
      <c r="C58" s="45"/>
      <c r="D58" s="103">
        <f>0.01864</f>
        <v>1.864E-2</v>
      </c>
      <c r="E58" s="55" t="s">
        <v>62</v>
      </c>
      <c r="F58" s="40">
        <f t="shared" si="0"/>
        <v>1.864E-2</v>
      </c>
      <c r="G58" s="45"/>
      <c r="H58" s="58"/>
      <c r="I58" s="56" t="s">
        <v>62</v>
      </c>
      <c r="J58" s="59">
        <f>0.01864</f>
        <v>1.864E-2</v>
      </c>
      <c r="K58" s="46">
        <v>0</v>
      </c>
    </row>
    <row r="59" spans="1:11" ht="15.75" x14ac:dyDescent="0.25">
      <c r="A59" s="267"/>
      <c r="B59" s="55"/>
      <c r="C59" s="45"/>
      <c r="D59" s="103">
        <v>0.34721000000000002</v>
      </c>
      <c r="E59" s="55" t="s">
        <v>63</v>
      </c>
      <c r="F59" s="40">
        <f t="shared" si="0"/>
        <v>0.34721000000000002</v>
      </c>
      <c r="G59" s="45"/>
      <c r="H59" s="58"/>
      <c r="I59" s="56" t="s">
        <v>63</v>
      </c>
      <c r="J59" s="59">
        <v>0.34721000000000002</v>
      </c>
      <c r="K59" s="46">
        <v>0</v>
      </c>
    </row>
    <row r="60" spans="1:11" ht="15.75" customHeight="1" x14ac:dyDescent="0.25">
      <c r="A60" s="267"/>
      <c r="B60" s="55"/>
      <c r="C60" s="45"/>
      <c r="D60" s="103">
        <f>0.07881+0.47283</f>
        <v>0.55164000000000002</v>
      </c>
      <c r="E60" s="55" t="s">
        <v>64</v>
      </c>
      <c r="F60" s="40">
        <f t="shared" si="0"/>
        <v>0.55164000000000002</v>
      </c>
      <c r="G60" s="45"/>
      <c r="H60" s="58"/>
      <c r="I60" s="56" t="s">
        <v>64</v>
      </c>
      <c r="J60" s="46">
        <f>0.51223</f>
        <v>0.51222999999999996</v>
      </c>
      <c r="K60" s="46">
        <v>3.9410000000000001E-2</v>
      </c>
    </row>
    <row r="61" spans="1:11" ht="13.5" customHeight="1" x14ac:dyDescent="0.25">
      <c r="A61" s="267"/>
      <c r="B61" s="55"/>
      <c r="C61" s="45"/>
      <c r="D61" s="103">
        <v>0.35499999999999998</v>
      </c>
      <c r="E61" s="55" t="s">
        <v>65</v>
      </c>
      <c r="F61" s="40">
        <f t="shared" si="0"/>
        <v>0.35499999999999998</v>
      </c>
      <c r="G61" s="45"/>
      <c r="H61" s="58"/>
      <c r="I61" s="56" t="s">
        <v>65</v>
      </c>
      <c r="J61" s="46">
        <v>0</v>
      </c>
      <c r="K61" s="59">
        <v>0.35499999999999998</v>
      </c>
    </row>
    <row r="62" spans="1:11" ht="15.75" x14ac:dyDescent="0.25">
      <c r="A62" s="267"/>
      <c r="B62" s="55"/>
      <c r="C62" s="45"/>
      <c r="D62" s="103">
        <f>0.20965</f>
        <v>0.20965</v>
      </c>
      <c r="E62" s="55" t="s">
        <v>66</v>
      </c>
      <c r="F62" s="40">
        <f t="shared" si="0"/>
        <v>0.20965</v>
      </c>
      <c r="G62" s="45"/>
      <c r="H62" s="58"/>
      <c r="I62" s="56" t="s">
        <v>66</v>
      </c>
      <c r="J62" s="46">
        <v>0</v>
      </c>
      <c r="K62" s="59">
        <f>0.20965</f>
        <v>0.20965</v>
      </c>
    </row>
    <row r="63" spans="1:11" ht="13.5" customHeight="1" x14ac:dyDescent="0.25">
      <c r="A63" s="267"/>
      <c r="B63" s="55"/>
      <c r="C63" s="45"/>
      <c r="D63" s="103">
        <f>0.20143</f>
        <v>0.20143</v>
      </c>
      <c r="E63" s="55" t="s">
        <v>67</v>
      </c>
      <c r="F63" s="40">
        <f t="shared" si="0"/>
        <v>0.20143</v>
      </c>
      <c r="G63" s="45"/>
      <c r="H63" s="58"/>
      <c r="I63" s="56" t="s">
        <v>67</v>
      </c>
      <c r="J63" s="59">
        <v>0</v>
      </c>
      <c r="K63" s="59">
        <f>0.20143</f>
        <v>0.20143</v>
      </c>
    </row>
    <row r="64" spans="1:11" ht="15.75" customHeight="1" x14ac:dyDescent="0.25">
      <c r="A64" s="267"/>
      <c r="B64" s="55"/>
      <c r="C64" s="45"/>
      <c r="D64" s="103">
        <f>1.2835</f>
        <v>1.2835000000000001</v>
      </c>
      <c r="E64" s="55" t="s">
        <v>68</v>
      </c>
      <c r="F64" s="40">
        <f t="shared" si="0"/>
        <v>1.2835000000000001</v>
      </c>
      <c r="G64" s="45"/>
      <c r="H64" s="58"/>
      <c r="I64" s="56" t="s">
        <v>68</v>
      </c>
      <c r="J64" s="46">
        <f>0.64175</f>
        <v>0.64175000000000004</v>
      </c>
      <c r="K64" s="46">
        <f>0.64175</f>
        <v>0.64175000000000004</v>
      </c>
    </row>
    <row r="65" spans="1:11" ht="16.5" customHeight="1" x14ac:dyDescent="0.25">
      <c r="A65" s="267"/>
      <c r="B65" s="55"/>
      <c r="C65" s="45"/>
      <c r="D65" s="103">
        <f>0.59265+0.01943+0.19319</f>
        <v>0.80526999999999993</v>
      </c>
      <c r="E65" s="55" t="s">
        <v>69</v>
      </c>
      <c r="F65" s="40">
        <f t="shared" si="0"/>
        <v>0.80526999999999993</v>
      </c>
      <c r="G65" s="45"/>
      <c r="H65" s="58"/>
      <c r="I65" s="56" t="s">
        <v>69</v>
      </c>
      <c r="J65" s="46">
        <f>0.42736</f>
        <v>0.42736000000000002</v>
      </c>
      <c r="K65" s="46">
        <f>0.37791</f>
        <v>0.37791000000000002</v>
      </c>
    </row>
    <row r="66" spans="1:11" ht="15.75" x14ac:dyDescent="0.25">
      <c r="A66" s="267"/>
      <c r="B66" s="55"/>
      <c r="C66" s="45"/>
      <c r="D66" s="103">
        <f>0.15089+0.294</f>
        <v>0.44489000000000001</v>
      </c>
      <c r="E66" s="55" t="s">
        <v>70</v>
      </c>
      <c r="F66" s="40">
        <f t="shared" si="0"/>
        <v>0.44489000000000001</v>
      </c>
      <c r="G66" s="45"/>
      <c r="H66" s="58"/>
      <c r="I66" s="56" t="s">
        <v>70</v>
      </c>
      <c r="J66" s="46">
        <f>0.33737</f>
        <v>0.33737</v>
      </c>
      <c r="K66" s="46">
        <f>0.10752</f>
        <v>0.10752</v>
      </c>
    </row>
    <row r="67" spans="1:11" ht="17.25" customHeight="1" x14ac:dyDescent="0.25">
      <c r="A67" s="267"/>
      <c r="B67" s="55"/>
      <c r="C67" s="45"/>
      <c r="D67" s="103">
        <f>0.24717</f>
        <v>0.24717</v>
      </c>
      <c r="E67" s="55" t="s">
        <v>71</v>
      </c>
      <c r="F67" s="40">
        <f t="shared" si="0"/>
        <v>0.24717</v>
      </c>
      <c r="G67" s="45"/>
      <c r="H67" s="58"/>
      <c r="I67" s="56" t="s">
        <v>71</v>
      </c>
      <c r="J67" s="46">
        <v>0</v>
      </c>
      <c r="K67" s="59">
        <f>0.24717</f>
        <v>0.24717</v>
      </c>
    </row>
    <row r="68" spans="1:11" ht="30.75" customHeight="1" x14ac:dyDescent="0.25">
      <c r="A68" s="267"/>
      <c r="B68" s="55"/>
      <c r="C68" s="45"/>
      <c r="D68" s="103">
        <f>0.32502</f>
        <v>0.32501999999999998</v>
      </c>
      <c r="E68" s="55" t="s">
        <v>120</v>
      </c>
      <c r="F68" s="40">
        <f t="shared" si="0"/>
        <v>0.32501999999999998</v>
      </c>
      <c r="G68" s="45"/>
      <c r="H68" s="58"/>
      <c r="I68" s="55" t="s">
        <v>120</v>
      </c>
      <c r="J68" s="46">
        <v>0</v>
      </c>
      <c r="K68" s="59">
        <f>0.32502</f>
        <v>0.32501999999999998</v>
      </c>
    </row>
    <row r="69" spans="1:11" ht="19.5" customHeight="1" x14ac:dyDescent="0.25">
      <c r="A69" s="267"/>
      <c r="B69" s="55"/>
      <c r="C69" s="45"/>
      <c r="D69" s="103">
        <f>4.2372</f>
        <v>4.2371999999999996</v>
      </c>
      <c r="E69" s="55" t="s">
        <v>72</v>
      </c>
      <c r="F69" s="40">
        <f t="shared" si="0"/>
        <v>4.2371999999999996</v>
      </c>
      <c r="G69" s="45"/>
      <c r="H69" s="58"/>
      <c r="I69" s="56" t="s">
        <v>72</v>
      </c>
      <c r="J69" s="46">
        <v>3.5310000000000001</v>
      </c>
      <c r="K69" s="46">
        <v>0.70620000000000005</v>
      </c>
    </row>
    <row r="70" spans="1:11" ht="16.5" customHeight="1" x14ac:dyDescent="0.25">
      <c r="A70" s="267"/>
      <c r="B70" s="55"/>
      <c r="C70" s="45"/>
      <c r="D70" s="101">
        <f>0.05484+0.1939</f>
        <v>0.24873999999999999</v>
      </c>
      <c r="E70" s="55" t="s">
        <v>73</v>
      </c>
      <c r="F70" s="40">
        <f t="shared" si="0"/>
        <v>0.24873999999999999</v>
      </c>
      <c r="G70" s="45"/>
      <c r="H70" s="58"/>
      <c r="I70" s="56" t="s">
        <v>73</v>
      </c>
      <c r="J70" s="46">
        <v>0.11748</v>
      </c>
      <c r="K70" s="46">
        <v>0.13125999999999999</v>
      </c>
    </row>
    <row r="71" spans="1:11" ht="12.75" customHeight="1" x14ac:dyDescent="0.25">
      <c r="A71" s="267"/>
      <c r="B71" s="55"/>
      <c r="C71" s="45"/>
      <c r="D71" s="103">
        <f>0.01744</f>
        <v>1.7440000000000001E-2</v>
      </c>
      <c r="E71" s="55" t="s">
        <v>74</v>
      </c>
      <c r="F71" s="40">
        <f t="shared" si="0"/>
        <v>1.7440000000000001E-2</v>
      </c>
      <c r="G71" s="45"/>
      <c r="H71" s="58"/>
      <c r="I71" s="56" t="s">
        <v>74</v>
      </c>
      <c r="J71" s="59">
        <f>0.01744</f>
        <v>1.7440000000000001E-2</v>
      </c>
      <c r="K71" s="46">
        <v>0</v>
      </c>
    </row>
    <row r="72" spans="1:11" ht="13.5" customHeight="1" x14ac:dyDescent="0.25">
      <c r="A72" s="267"/>
      <c r="B72" s="55"/>
      <c r="C72" s="45"/>
      <c r="D72" s="103">
        <v>0.27403</v>
      </c>
      <c r="E72" s="55" t="s">
        <v>75</v>
      </c>
      <c r="F72" s="40">
        <f t="shared" si="0"/>
        <v>0.27403</v>
      </c>
      <c r="G72" s="45"/>
      <c r="H72" s="58"/>
      <c r="I72" s="56" t="s">
        <v>75</v>
      </c>
      <c r="J72" s="46">
        <v>0</v>
      </c>
      <c r="K72" s="59">
        <v>0.27403</v>
      </c>
    </row>
    <row r="73" spans="1:11" ht="14.25" customHeight="1" x14ac:dyDescent="0.25">
      <c r="A73" s="267"/>
      <c r="B73" s="55"/>
      <c r="C73" s="45"/>
      <c r="D73" s="103">
        <f>0.11689+0.23377+0.99645+0.24156</f>
        <v>1.5886699999999998</v>
      </c>
      <c r="E73" s="55" t="s">
        <v>76</v>
      </c>
      <c r="F73" s="40">
        <f t="shared" si="0"/>
        <v>1.5886699999999998</v>
      </c>
      <c r="G73" s="45"/>
      <c r="H73" s="58"/>
      <c r="I73" s="56" t="s">
        <v>76</v>
      </c>
      <c r="J73" s="46">
        <v>0.97269000000000005</v>
      </c>
      <c r="K73" s="46">
        <v>0.61597999999999997</v>
      </c>
    </row>
    <row r="74" spans="1:11" ht="16.5" customHeight="1" x14ac:dyDescent="0.25">
      <c r="A74" s="267"/>
      <c r="B74" s="55"/>
      <c r="C74" s="45"/>
      <c r="D74" s="103">
        <v>3.8603499999999999</v>
      </c>
      <c r="E74" s="55" t="s">
        <v>77</v>
      </c>
      <c r="F74" s="40">
        <f t="shared" si="0"/>
        <v>3.8603499999999999</v>
      </c>
      <c r="G74" s="45"/>
      <c r="H74" s="58"/>
      <c r="I74" s="56" t="s">
        <v>77</v>
      </c>
      <c r="J74" s="46">
        <f>2.1232</f>
        <v>2.1232000000000002</v>
      </c>
      <c r="K74" s="46">
        <v>1.73715</v>
      </c>
    </row>
    <row r="75" spans="1:11" ht="15.75" customHeight="1" x14ac:dyDescent="0.25">
      <c r="A75" s="267"/>
      <c r="B75" s="55"/>
      <c r="C75" s="45"/>
      <c r="D75" s="103">
        <f>0.2048</f>
        <v>0.20480000000000001</v>
      </c>
      <c r="E75" s="55" t="s">
        <v>78</v>
      </c>
      <c r="F75" s="40">
        <f t="shared" si="0"/>
        <v>0.20480000000000001</v>
      </c>
      <c r="G75" s="45"/>
      <c r="H75" s="58"/>
      <c r="I75" s="56" t="s">
        <v>78</v>
      </c>
      <c r="J75" s="59">
        <f>0.2048</f>
        <v>0.20480000000000001</v>
      </c>
      <c r="K75" s="46">
        <v>0</v>
      </c>
    </row>
    <row r="76" spans="1:11" ht="13.5" customHeight="1" x14ac:dyDescent="0.25">
      <c r="A76" s="267"/>
      <c r="B76" s="55"/>
      <c r="C76" s="45"/>
      <c r="D76" s="103">
        <f>0.4806</f>
        <v>0.48060000000000003</v>
      </c>
      <c r="E76" s="55" t="s">
        <v>79</v>
      </c>
      <c r="F76" s="40">
        <f t="shared" si="0"/>
        <v>0.48060000000000003</v>
      </c>
      <c r="G76" s="45"/>
      <c r="H76" s="58"/>
      <c r="I76" s="56" t="s">
        <v>79</v>
      </c>
      <c r="J76" s="59">
        <f>0.4806</f>
        <v>0.48060000000000003</v>
      </c>
      <c r="K76" s="46">
        <v>0</v>
      </c>
    </row>
    <row r="77" spans="1:11" ht="17.25" customHeight="1" x14ac:dyDescent="0.25">
      <c r="A77" s="267"/>
      <c r="B77" s="55"/>
      <c r="C77" s="45"/>
      <c r="D77" s="103">
        <f>0.19456</f>
        <v>0.19456000000000001</v>
      </c>
      <c r="E77" s="55" t="s">
        <v>121</v>
      </c>
      <c r="F77" s="40">
        <f t="shared" si="0"/>
        <v>0.19456000000000001</v>
      </c>
      <c r="G77" s="45"/>
      <c r="H77" s="58"/>
      <c r="I77" s="55" t="s">
        <v>121</v>
      </c>
      <c r="J77" s="46">
        <f>0.14268</f>
        <v>0.14268</v>
      </c>
      <c r="K77" s="46">
        <v>5.1880000000000003E-2</v>
      </c>
    </row>
    <row r="78" spans="1:11" ht="16.5" customHeight="1" x14ac:dyDescent="0.25">
      <c r="A78" s="267"/>
      <c r="B78" s="55"/>
      <c r="C78" s="45"/>
      <c r="D78" s="103">
        <f>0.2722</f>
        <v>0.2722</v>
      </c>
      <c r="E78" s="55" t="s">
        <v>80</v>
      </c>
      <c r="F78" s="40">
        <f t="shared" ref="F78:F113" si="1">D78</f>
        <v>0.2722</v>
      </c>
      <c r="G78" s="45"/>
      <c r="H78" s="58"/>
      <c r="I78" s="56" t="s">
        <v>80</v>
      </c>
      <c r="J78" s="46">
        <v>0</v>
      </c>
      <c r="K78" s="59">
        <f>0.2722</f>
        <v>0.2722</v>
      </c>
    </row>
    <row r="79" spans="1:11" ht="12.75" customHeight="1" x14ac:dyDescent="0.25">
      <c r="A79" s="267"/>
      <c r="B79" s="55"/>
      <c r="C79" s="45"/>
      <c r="D79" s="103">
        <f>0.33545+0.10563</f>
        <v>0.44108000000000003</v>
      </c>
      <c r="E79" s="55" t="s">
        <v>81</v>
      </c>
      <c r="F79" s="40">
        <f t="shared" si="1"/>
        <v>0.44108000000000003</v>
      </c>
      <c r="G79" s="45"/>
      <c r="H79" s="58"/>
      <c r="I79" s="56" t="s">
        <v>81</v>
      </c>
      <c r="J79" s="46">
        <v>9.2480000000000007E-2</v>
      </c>
      <c r="K79" s="46">
        <v>0.34860000000000002</v>
      </c>
    </row>
    <row r="80" spans="1:11" ht="14.25" customHeight="1" x14ac:dyDescent="0.25">
      <c r="A80" s="267"/>
      <c r="B80" s="55"/>
      <c r="C80" s="45"/>
      <c r="D80" s="103">
        <f>0.1548+0.6776</f>
        <v>0.83240000000000003</v>
      </c>
      <c r="E80" s="55" t="s">
        <v>82</v>
      </c>
      <c r="F80" s="40">
        <f t="shared" si="1"/>
        <v>0.83240000000000003</v>
      </c>
      <c r="G80" s="45"/>
      <c r="H80" s="58"/>
      <c r="I80" s="56" t="s">
        <v>82</v>
      </c>
      <c r="J80" s="46">
        <f>0.1694</f>
        <v>0.1694</v>
      </c>
      <c r="K80" s="46">
        <f>0.663</f>
        <v>0.66300000000000003</v>
      </c>
    </row>
    <row r="81" spans="1:11" ht="14.25" customHeight="1" x14ac:dyDescent="0.25">
      <c r="A81" s="267"/>
      <c r="B81" s="55"/>
      <c r="C81" s="45"/>
      <c r="D81" s="103">
        <v>2.2499999999999999E-2</v>
      </c>
      <c r="E81" s="55" t="s">
        <v>83</v>
      </c>
      <c r="F81" s="40">
        <f t="shared" si="1"/>
        <v>2.2499999999999999E-2</v>
      </c>
      <c r="G81" s="45"/>
      <c r="H81" s="58"/>
      <c r="I81" s="56" t="s">
        <v>83</v>
      </c>
      <c r="J81" s="46">
        <v>0</v>
      </c>
      <c r="K81" s="59">
        <v>2.2499999999999999E-2</v>
      </c>
    </row>
    <row r="82" spans="1:11" ht="12.75" customHeight="1" x14ac:dyDescent="0.25">
      <c r="A82" s="267"/>
      <c r="B82" s="55"/>
      <c r="C82" s="45"/>
      <c r="D82" s="103">
        <v>2.2499999999999999E-2</v>
      </c>
      <c r="E82" s="55" t="s">
        <v>84</v>
      </c>
      <c r="F82" s="40">
        <f t="shared" si="1"/>
        <v>2.2499999999999999E-2</v>
      </c>
      <c r="G82" s="45"/>
      <c r="H82" s="58"/>
      <c r="I82" s="56" t="s">
        <v>84</v>
      </c>
      <c r="J82" s="46">
        <v>1.125E-2</v>
      </c>
      <c r="K82" s="46">
        <v>1.125E-2</v>
      </c>
    </row>
    <row r="83" spans="1:11" ht="12.75" customHeight="1" x14ac:dyDescent="0.25">
      <c r="A83" s="267"/>
      <c r="B83" s="55"/>
      <c r="C83" s="45"/>
      <c r="D83" s="101">
        <f>0.0225</f>
        <v>2.2499999999999999E-2</v>
      </c>
      <c r="E83" s="55" t="s">
        <v>85</v>
      </c>
      <c r="F83" s="40">
        <f t="shared" si="1"/>
        <v>2.2499999999999999E-2</v>
      </c>
      <c r="G83" s="45"/>
      <c r="H83" s="58"/>
      <c r="I83" s="56" t="s">
        <v>85</v>
      </c>
      <c r="J83" s="46">
        <v>0</v>
      </c>
      <c r="K83" s="50">
        <f>0.0225</f>
        <v>2.2499999999999999E-2</v>
      </c>
    </row>
    <row r="84" spans="1:11" ht="27" customHeight="1" x14ac:dyDescent="0.25">
      <c r="A84" s="267"/>
      <c r="B84" s="55"/>
      <c r="C84" s="45"/>
      <c r="D84" s="103">
        <f>0.6915</f>
        <v>0.6915</v>
      </c>
      <c r="E84" s="55" t="s">
        <v>122</v>
      </c>
      <c r="F84" s="40">
        <f t="shared" si="1"/>
        <v>0.6915</v>
      </c>
      <c r="G84" s="45"/>
      <c r="H84" s="58"/>
      <c r="I84" s="56" t="s">
        <v>86</v>
      </c>
      <c r="J84" s="46">
        <v>0</v>
      </c>
      <c r="K84" s="59">
        <f>0.6915</f>
        <v>0.6915</v>
      </c>
    </row>
    <row r="85" spans="1:11" ht="16.5" customHeight="1" x14ac:dyDescent="0.25">
      <c r="A85" s="267"/>
      <c r="B85" s="55"/>
      <c r="C85" s="45"/>
      <c r="D85" s="103">
        <f>5.44095+2.81538+7.37979</f>
        <v>15.63612</v>
      </c>
      <c r="E85" s="55" t="s">
        <v>87</v>
      </c>
      <c r="F85" s="40">
        <f t="shared" si="1"/>
        <v>15.63612</v>
      </c>
      <c r="G85" s="45"/>
      <c r="H85" s="58"/>
      <c r="I85" s="56" t="s">
        <v>87</v>
      </c>
      <c r="J85" s="46">
        <v>11.829700000000001</v>
      </c>
      <c r="K85" s="46">
        <f>3.80642</f>
        <v>3.8064200000000001</v>
      </c>
    </row>
    <row r="86" spans="1:11" ht="29.25" customHeight="1" x14ac:dyDescent="0.25">
      <c r="A86" s="267"/>
      <c r="B86" s="55"/>
      <c r="C86" s="45"/>
      <c r="D86" s="103">
        <v>0.11871</v>
      </c>
      <c r="E86" s="55" t="s">
        <v>88</v>
      </c>
      <c r="F86" s="40">
        <f t="shared" si="1"/>
        <v>0.11871</v>
      </c>
      <c r="G86" s="45"/>
      <c r="H86" s="58"/>
      <c r="I86" s="56" t="s">
        <v>88</v>
      </c>
      <c r="J86" s="46">
        <v>0</v>
      </c>
      <c r="K86" s="59">
        <v>0.11871</v>
      </c>
    </row>
    <row r="87" spans="1:11" ht="13.5" customHeight="1" x14ac:dyDescent="0.25">
      <c r="A87" s="267"/>
      <c r="B87" s="55"/>
      <c r="C87" s="45"/>
      <c r="D87" s="103">
        <v>3.8841000000000001</v>
      </c>
      <c r="E87" s="55" t="s">
        <v>89</v>
      </c>
      <c r="F87" s="40">
        <f t="shared" si="1"/>
        <v>3.8841000000000001</v>
      </c>
      <c r="G87" s="45"/>
      <c r="H87" s="58"/>
      <c r="I87" s="56" t="s">
        <v>89</v>
      </c>
      <c r="J87" s="46">
        <f>3.48275</f>
        <v>3.4827499999999998</v>
      </c>
      <c r="K87" s="46">
        <f>0.40135</f>
        <v>0.40134999999999998</v>
      </c>
    </row>
    <row r="88" spans="1:11" ht="18" customHeight="1" x14ac:dyDescent="0.25">
      <c r="A88" s="267"/>
      <c r="B88" s="55"/>
      <c r="C88" s="45"/>
      <c r="D88" s="103">
        <v>4.298</v>
      </c>
      <c r="E88" s="55" t="s">
        <v>123</v>
      </c>
      <c r="F88" s="40">
        <f t="shared" si="1"/>
        <v>4.298</v>
      </c>
      <c r="G88" s="45"/>
      <c r="H88" s="58"/>
      <c r="I88" s="55" t="s">
        <v>123</v>
      </c>
      <c r="J88" s="46">
        <v>1.5349999999999999</v>
      </c>
      <c r="K88" s="46">
        <v>2.7629999999999999</v>
      </c>
    </row>
    <row r="89" spans="1:11" ht="15.75" customHeight="1" x14ac:dyDescent="0.25">
      <c r="A89" s="267"/>
      <c r="B89" s="55"/>
      <c r="C89" s="45"/>
      <c r="D89" s="103">
        <f>3.377</f>
        <v>3.3769999999999998</v>
      </c>
      <c r="E89" s="55" t="s">
        <v>124</v>
      </c>
      <c r="F89" s="40">
        <f t="shared" si="1"/>
        <v>3.3769999999999998</v>
      </c>
      <c r="G89" s="45"/>
      <c r="H89" s="58"/>
      <c r="I89" s="55" t="s">
        <v>124</v>
      </c>
      <c r="J89" s="46">
        <v>1.5964</v>
      </c>
      <c r="K89" s="46">
        <v>1.7806</v>
      </c>
    </row>
    <row r="90" spans="1:11" ht="15" customHeight="1" x14ac:dyDescent="0.25">
      <c r="A90" s="267"/>
      <c r="B90" s="55"/>
      <c r="C90" s="45"/>
      <c r="D90" s="103">
        <v>2.7629999999999999</v>
      </c>
      <c r="E90" s="55" t="s">
        <v>125</v>
      </c>
      <c r="F90" s="40">
        <f t="shared" si="1"/>
        <v>2.7629999999999999</v>
      </c>
      <c r="G90" s="45"/>
      <c r="H90" s="58"/>
      <c r="I90" s="55" t="s">
        <v>125</v>
      </c>
      <c r="J90" s="46">
        <v>2.149</v>
      </c>
      <c r="K90" s="46">
        <f>0.614</f>
        <v>0.61399999999999999</v>
      </c>
    </row>
    <row r="91" spans="1:11" ht="17.25" customHeight="1" x14ac:dyDescent="0.25">
      <c r="A91" s="267"/>
      <c r="B91" s="55"/>
      <c r="C91" s="45"/>
      <c r="D91" s="103">
        <v>1.228</v>
      </c>
      <c r="E91" s="55" t="s">
        <v>126</v>
      </c>
      <c r="F91" s="40">
        <f t="shared" si="1"/>
        <v>1.228</v>
      </c>
      <c r="G91" s="45"/>
      <c r="H91" s="58"/>
      <c r="I91" s="55" t="s">
        <v>126</v>
      </c>
      <c r="J91" s="59">
        <v>1.228</v>
      </c>
      <c r="K91" s="46">
        <v>0</v>
      </c>
    </row>
    <row r="92" spans="1:11" ht="28.5" customHeight="1" x14ac:dyDescent="0.25">
      <c r="A92" s="267"/>
      <c r="B92" s="55"/>
      <c r="C92" s="45"/>
      <c r="D92" s="103">
        <f>0.921</f>
        <v>0.92100000000000004</v>
      </c>
      <c r="E92" s="55" t="s">
        <v>127</v>
      </c>
      <c r="F92" s="40">
        <f t="shared" si="1"/>
        <v>0.92100000000000004</v>
      </c>
      <c r="G92" s="45"/>
      <c r="H92" s="58"/>
      <c r="I92" s="55" t="s">
        <v>127</v>
      </c>
      <c r="J92" s="59">
        <f>0.921</f>
        <v>0.92100000000000004</v>
      </c>
      <c r="K92" s="46">
        <v>0</v>
      </c>
    </row>
    <row r="93" spans="1:11" ht="15.75" customHeight="1" x14ac:dyDescent="0.25">
      <c r="A93" s="267"/>
      <c r="B93" s="55"/>
      <c r="C93" s="45"/>
      <c r="D93" s="103">
        <v>1.7751300000000001</v>
      </c>
      <c r="E93" s="55" t="s">
        <v>112</v>
      </c>
      <c r="F93" s="40">
        <f t="shared" si="1"/>
        <v>1.7751300000000001</v>
      </c>
      <c r="G93" s="45"/>
      <c r="H93" s="58"/>
      <c r="I93" s="56" t="s">
        <v>112</v>
      </c>
      <c r="J93" s="59">
        <v>1.7751300000000001</v>
      </c>
      <c r="K93" s="46">
        <v>0</v>
      </c>
    </row>
    <row r="94" spans="1:11" ht="30" x14ac:dyDescent="0.25">
      <c r="A94" s="267"/>
      <c r="B94" s="55"/>
      <c r="C94" s="45"/>
      <c r="D94" s="103">
        <f>2.763</f>
        <v>2.7629999999999999</v>
      </c>
      <c r="E94" s="55" t="s">
        <v>128</v>
      </c>
      <c r="F94" s="40">
        <f t="shared" si="1"/>
        <v>2.7629999999999999</v>
      </c>
      <c r="G94" s="45"/>
      <c r="H94" s="58"/>
      <c r="I94" s="55" t="s">
        <v>128</v>
      </c>
      <c r="J94" s="46">
        <f>2.456</f>
        <v>2.456</v>
      </c>
      <c r="K94" s="46">
        <v>0.307</v>
      </c>
    </row>
    <row r="95" spans="1:11" ht="13.5" customHeight="1" x14ac:dyDescent="0.25">
      <c r="A95" s="267"/>
      <c r="B95" s="55"/>
      <c r="C95" s="45"/>
      <c r="D95" s="103">
        <v>1.7751300000000001</v>
      </c>
      <c r="E95" s="55" t="s">
        <v>111</v>
      </c>
      <c r="F95" s="40">
        <f t="shared" si="1"/>
        <v>1.7751300000000001</v>
      </c>
      <c r="G95" s="45"/>
      <c r="H95" s="58"/>
      <c r="I95" s="56" t="s">
        <v>111</v>
      </c>
      <c r="J95" s="59">
        <v>1.7751300000000001</v>
      </c>
      <c r="K95" s="46">
        <v>0</v>
      </c>
    </row>
    <row r="96" spans="1:11" ht="15.75" customHeight="1" x14ac:dyDescent="0.25">
      <c r="A96" s="267"/>
      <c r="B96" s="55"/>
      <c r="C96" s="45"/>
      <c r="D96" s="103">
        <v>2.9788800000000002</v>
      </c>
      <c r="E96" s="55" t="s">
        <v>90</v>
      </c>
      <c r="F96" s="40">
        <f t="shared" si="1"/>
        <v>2.9788800000000002</v>
      </c>
      <c r="G96" s="45"/>
      <c r="H96" s="58"/>
      <c r="I96" s="56" t="s">
        <v>90</v>
      </c>
      <c r="J96" s="46">
        <f>2.0544</f>
        <v>2.0543999999999998</v>
      </c>
      <c r="K96" s="46">
        <v>0.92447999999999997</v>
      </c>
    </row>
    <row r="97" spans="1:11" ht="15" customHeight="1" x14ac:dyDescent="0.25">
      <c r="A97" s="267"/>
      <c r="B97" s="55"/>
      <c r="C97" s="45"/>
      <c r="D97" s="103">
        <f>2.98123+1.39614</f>
        <v>4.37737</v>
      </c>
      <c r="E97" s="55" t="s">
        <v>91</v>
      </c>
      <c r="F97" s="40">
        <f t="shared" si="1"/>
        <v>4.37737</v>
      </c>
      <c r="G97" s="45"/>
      <c r="H97" s="58"/>
      <c r="I97" s="56" t="s">
        <v>91</v>
      </c>
      <c r="J97" s="46">
        <f>1.9378</f>
        <v>1.9378</v>
      </c>
      <c r="K97" s="46">
        <f>2.43957</f>
        <v>2.4395699999999998</v>
      </c>
    </row>
    <row r="98" spans="1:11" ht="13.5" customHeight="1" x14ac:dyDescent="0.25">
      <c r="A98" s="267"/>
      <c r="B98" s="55"/>
      <c r="C98" s="45"/>
      <c r="D98" s="103">
        <v>0.58884000000000003</v>
      </c>
      <c r="E98" s="55" t="s">
        <v>92</v>
      </c>
      <c r="F98" s="40">
        <f t="shared" si="1"/>
        <v>0.58884000000000003</v>
      </c>
      <c r="G98" s="45"/>
      <c r="H98" s="58"/>
      <c r="I98" s="56" t="s">
        <v>92</v>
      </c>
      <c r="J98" s="59">
        <v>0</v>
      </c>
      <c r="K98" s="59">
        <v>0.58884000000000003</v>
      </c>
    </row>
    <row r="99" spans="1:11" ht="13.5" customHeight="1" x14ac:dyDescent="0.25">
      <c r="A99" s="267"/>
      <c r="B99" s="55"/>
      <c r="C99" s="45"/>
      <c r="D99" s="103">
        <v>2.6329999999999999E-2</v>
      </c>
      <c r="E99" s="55" t="s">
        <v>93</v>
      </c>
      <c r="F99" s="40">
        <f t="shared" si="1"/>
        <v>2.6329999999999999E-2</v>
      </c>
      <c r="G99" s="45"/>
      <c r="H99" s="58"/>
      <c r="I99" s="56" t="s">
        <v>93</v>
      </c>
      <c r="J99" s="59">
        <v>2.6329999999999999E-2</v>
      </c>
      <c r="K99" s="46">
        <v>0</v>
      </c>
    </row>
    <row r="100" spans="1:11" ht="13.5" customHeight="1" x14ac:dyDescent="0.25">
      <c r="A100" s="267"/>
      <c r="B100" s="55"/>
      <c r="C100" s="45"/>
      <c r="D100" s="103">
        <f>1.9231</f>
        <v>1.9231</v>
      </c>
      <c r="E100" s="55" t="s">
        <v>94</v>
      </c>
      <c r="F100" s="40">
        <f t="shared" si="1"/>
        <v>1.9231</v>
      </c>
      <c r="G100" s="45"/>
      <c r="H100" s="58"/>
      <c r="I100" s="56" t="s">
        <v>94</v>
      </c>
      <c r="J100" s="46">
        <v>0.27472999999999997</v>
      </c>
      <c r="K100" s="46">
        <f>1.64837</f>
        <v>1.6483699999999999</v>
      </c>
    </row>
    <row r="101" spans="1:11" ht="15" customHeight="1" x14ac:dyDescent="0.25">
      <c r="A101" s="267"/>
      <c r="B101" s="55"/>
      <c r="C101" s="45"/>
      <c r="D101" s="103">
        <v>0.95101999999999998</v>
      </c>
      <c r="E101" s="55" t="s">
        <v>95</v>
      </c>
      <c r="F101" s="40">
        <f t="shared" si="1"/>
        <v>0.95101999999999998</v>
      </c>
      <c r="G101" s="45"/>
      <c r="H101" s="58"/>
      <c r="I101" s="56" t="s">
        <v>95</v>
      </c>
      <c r="J101" s="59">
        <v>0</v>
      </c>
      <c r="K101" s="59">
        <v>0.95101999999999998</v>
      </c>
    </row>
    <row r="102" spans="1:11" ht="15" customHeight="1" x14ac:dyDescent="0.25">
      <c r="A102" s="267"/>
      <c r="B102" s="55"/>
      <c r="C102" s="45"/>
      <c r="D102" s="103">
        <f>5.12487+8.05122</f>
        <v>13.17609</v>
      </c>
      <c r="E102" s="55" t="s">
        <v>96</v>
      </c>
      <c r="F102" s="40">
        <f t="shared" si="1"/>
        <v>13.17609</v>
      </c>
      <c r="G102" s="45"/>
      <c r="H102" s="58"/>
      <c r="I102" s="56" t="s">
        <v>96</v>
      </c>
      <c r="J102" s="46">
        <v>10.27764</v>
      </c>
      <c r="K102" s="46">
        <f>2.89845</f>
        <v>2.89845</v>
      </c>
    </row>
    <row r="103" spans="1:11" ht="15" customHeight="1" x14ac:dyDescent="0.25">
      <c r="A103" s="267"/>
      <c r="B103" s="55"/>
      <c r="C103" s="45"/>
      <c r="D103" s="103">
        <v>0.19153999999999999</v>
      </c>
      <c r="E103" s="55" t="s">
        <v>97</v>
      </c>
      <c r="F103" s="40">
        <f t="shared" si="1"/>
        <v>0.19153999999999999</v>
      </c>
      <c r="G103" s="45"/>
      <c r="H103" s="58"/>
      <c r="I103" s="56" t="s">
        <v>97</v>
      </c>
      <c r="J103" s="46">
        <f>0.07367</f>
        <v>7.3669999999999999E-2</v>
      </c>
      <c r="K103" s="46">
        <f>0.11787</f>
        <v>0.11787</v>
      </c>
    </row>
    <row r="104" spans="1:11" ht="14.25" customHeight="1" x14ac:dyDescent="0.25">
      <c r="A104" s="267"/>
      <c r="B104" s="55"/>
      <c r="C104" s="45"/>
      <c r="D104" s="103">
        <f>0.36504</f>
        <v>0.36503999999999998</v>
      </c>
      <c r="E104" s="55" t="s">
        <v>98</v>
      </c>
      <c r="F104" s="40">
        <f t="shared" si="1"/>
        <v>0.36503999999999998</v>
      </c>
      <c r="G104" s="45"/>
      <c r="H104" s="58"/>
      <c r="I104" s="56" t="s">
        <v>98</v>
      </c>
      <c r="J104" s="46">
        <f>0.21294</f>
        <v>0.21293999999999999</v>
      </c>
      <c r="K104" s="46">
        <f>0.1521</f>
        <v>0.15210000000000001</v>
      </c>
    </row>
    <row r="105" spans="1:11" ht="13.5" customHeight="1" x14ac:dyDescent="0.25">
      <c r="A105" s="267"/>
      <c r="B105" s="55"/>
      <c r="C105" s="45"/>
      <c r="D105" s="103">
        <v>0.63729000000000002</v>
      </c>
      <c r="E105" s="55" t="s">
        <v>99</v>
      </c>
      <c r="F105" s="40">
        <f t="shared" si="1"/>
        <v>0.63729000000000002</v>
      </c>
      <c r="G105" s="45"/>
      <c r="H105" s="58"/>
      <c r="I105" s="56" t="s">
        <v>99</v>
      </c>
      <c r="J105" s="59">
        <v>0.63729000000000002</v>
      </c>
      <c r="K105" s="46">
        <v>0</v>
      </c>
    </row>
    <row r="106" spans="1:11" ht="12.75" customHeight="1" x14ac:dyDescent="0.25">
      <c r="A106" s="267"/>
      <c r="B106" s="55"/>
      <c r="C106" s="45"/>
      <c r="D106" s="103">
        <f>0.95626</f>
        <v>0.95626</v>
      </c>
      <c r="E106" s="55" t="s">
        <v>100</v>
      </c>
      <c r="F106" s="40">
        <f t="shared" si="1"/>
        <v>0.95626</v>
      </c>
      <c r="G106" s="45"/>
      <c r="H106" s="58"/>
      <c r="I106" s="56" t="s">
        <v>100</v>
      </c>
      <c r="J106" s="46">
        <f>0.3825</f>
        <v>0.38250000000000001</v>
      </c>
      <c r="K106" s="46">
        <f>0.57376</f>
        <v>0.57376000000000005</v>
      </c>
    </row>
    <row r="107" spans="1:11" ht="15" customHeight="1" x14ac:dyDescent="0.25">
      <c r="A107" s="267"/>
      <c r="B107" s="55"/>
      <c r="C107" s="45"/>
      <c r="D107" s="103">
        <f>0.17345+0.276+0.08587-0.00006</f>
        <v>0.53526000000000007</v>
      </c>
      <c r="E107" s="56" t="s">
        <v>101</v>
      </c>
      <c r="F107" s="40">
        <f t="shared" si="1"/>
        <v>0.53526000000000007</v>
      </c>
      <c r="G107" s="45"/>
      <c r="H107" s="58"/>
      <c r="I107" s="56" t="s">
        <v>101</v>
      </c>
      <c r="J107" s="46">
        <f>0.3642</f>
        <v>0.36420000000000002</v>
      </c>
      <c r="K107" s="46">
        <f>0.17112</f>
        <v>0.17111999999999999</v>
      </c>
    </row>
    <row r="108" spans="1:11" ht="14.25" customHeight="1" x14ac:dyDescent="0.25">
      <c r="A108" s="267"/>
      <c r="B108" s="55"/>
      <c r="C108" s="45"/>
      <c r="D108" s="103">
        <f>0.49434+1.0431</f>
        <v>1.5374399999999999</v>
      </c>
      <c r="E108" s="55" t="s">
        <v>105</v>
      </c>
      <c r="F108" s="40">
        <f t="shared" si="1"/>
        <v>1.5374399999999999</v>
      </c>
      <c r="G108" s="45"/>
      <c r="H108" s="58"/>
      <c r="I108" s="56" t="s">
        <v>105</v>
      </c>
      <c r="J108" s="46">
        <v>0.55656000000000005</v>
      </c>
      <c r="K108" s="46">
        <v>0.98087999999999997</v>
      </c>
    </row>
    <row r="109" spans="1:11" ht="12.75" customHeight="1" x14ac:dyDescent="0.25">
      <c r="A109" s="267"/>
      <c r="B109" s="55"/>
      <c r="C109" s="45"/>
      <c r="D109" s="103">
        <v>0.67900000000000005</v>
      </c>
      <c r="E109" s="55" t="s">
        <v>104</v>
      </c>
      <c r="F109" s="40">
        <f t="shared" si="1"/>
        <v>0.67900000000000005</v>
      </c>
      <c r="G109" s="45"/>
      <c r="H109" s="58"/>
      <c r="I109" s="56" t="s">
        <v>104</v>
      </c>
      <c r="J109" s="46">
        <f>0.27645</f>
        <v>0.27644999999999997</v>
      </c>
      <c r="K109" s="46">
        <v>0.40255000000000002</v>
      </c>
    </row>
    <row r="110" spans="1:11" ht="14.25" customHeight="1" x14ac:dyDescent="0.25">
      <c r="A110" s="267"/>
      <c r="B110" s="55"/>
      <c r="C110" s="45"/>
      <c r="D110" s="103">
        <v>0.60192000000000001</v>
      </c>
      <c r="E110" s="55" t="s">
        <v>102</v>
      </c>
      <c r="F110" s="40">
        <f t="shared" si="1"/>
        <v>0.60192000000000001</v>
      </c>
      <c r="G110" s="45"/>
      <c r="H110" s="58"/>
      <c r="I110" s="56" t="s">
        <v>102</v>
      </c>
      <c r="J110" s="46">
        <f>0.49362</f>
        <v>0.49362</v>
      </c>
      <c r="K110" s="46">
        <f>0.1083</f>
        <v>0.10829999999999999</v>
      </c>
    </row>
    <row r="111" spans="1:11" ht="13.5" customHeight="1" x14ac:dyDescent="0.25">
      <c r="A111" s="267"/>
      <c r="B111" s="55"/>
      <c r="C111" s="45"/>
      <c r="D111" s="103">
        <f>1.14+0.2048</f>
        <v>1.3448</v>
      </c>
      <c r="E111" s="55" t="s">
        <v>103</v>
      </c>
      <c r="F111" s="40">
        <f t="shared" si="1"/>
        <v>1.3448</v>
      </c>
      <c r="G111" s="45"/>
      <c r="H111" s="58"/>
      <c r="I111" s="56" t="s">
        <v>103</v>
      </c>
      <c r="J111" s="46">
        <f>0.70412</f>
        <v>0.70411999999999997</v>
      </c>
      <c r="K111" s="46">
        <f>0.64068</f>
        <v>0.64068000000000003</v>
      </c>
    </row>
    <row r="112" spans="1:11" ht="15.75" x14ac:dyDescent="0.25">
      <c r="A112" s="267"/>
      <c r="B112" s="55"/>
      <c r="C112" s="45"/>
      <c r="D112" s="103">
        <v>0.46200000000000002</v>
      </c>
      <c r="E112" s="55" t="s">
        <v>106</v>
      </c>
      <c r="F112" s="40">
        <f t="shared" si="1"/>
        <v>0.46200000000000002</v>
      </c>
      <c r="G112" s="45"/>
      <c r="H112" s="58"/>
      <c r="I112" s="56" t="s">
        <v>106</v>
      </c>
      <c r="J112" s="46">
        <f>0.0462</f>
        <v>4.6199999999999998E-2</v>
      </c>
      <c r="K112" s="46">
        <f>0.4158</f>
        <v>0.4158</v>
      </c>
    </row>
    <row r="113" spans="1:11" ht="45" x14ac:dyDescent="0.25">
      <c r="A113" s="267"/>
      <c r="B113" s="60" t="s">
        <v>110</v>
      </c>
      <c r="C113" s="45"/>
      <c r="D113" s="104">
        <v>1.7</v>
      </c>
      <c r="E113" s="55" t="s">
        <v>114</v>
      </c>
      <c r="F113" s="40">
        <f t="shared" si="1"/>
        <v>1.7</v>
      </c>
      <c r="G113" s="45"/>
      <c r="H113" s="45"/>
      <c r="I113" s="56" t="s">
        <v>136</v>
      </c>
      <c r="J113" s="46">
        <v>0</v>
      </c>
      <c r="K113" s="61">
        <v>1.7</v>
      </c>
    </row>
    <row r="114" spans="1:11" ht="15.75" x14ac:dyDescent="0.25">
      <c r="A114" s="268"/>
      <c r="B114" s="60" t="s">
        <v>129</v>
      </c>
      <c r="C114" s="62">
        <v>14.691000000000001</v>
      </c>
      <c r="D114" s="104"/>
      <c r="E114" s="55"/>
      <c r="F114" s="40">
        <v>14.691000000000001</v>
      </c>
      <c r="G114" s="45"/>
      <c r="H114" s="45"/>
      <c r="I114" s="56"/>
      <c r="J114" s="46"/>
      <c r="K114" s="61">
        <v>14.691000000000001</v>
      </c>
    </row>
    <row r="115" spans="1:11" ht="57.75" x14ac:dyDescent="0.25">
      <c r="A115" s="262" t="s">
        <v>12</v>
      </c>
      <c r="B115" s="90" t="s">
        <v>138</v>
      </c>
      <c r="C115" s="1"/>
      <c r="D115" s="92">
        <v>13.105</v>
      </c>
      <c r="E115" s="13" t="s">
        <v>139</v>
      </c>
      <c r="F115" s="42">
        <f t="shared" ref="F115:F124" si="2">D115</f>
        <v>13.105</v>
      </c>
      <c r="G115" s="1"/>
      <c r="H115" s="1"/>
      <c r="I115" s="13" t="s">
        <v>139</v>
      </c>
      <c r="J115" s="46">
        <v>13.105</v>
      </c>
      <c r="K115" s="46">
        <v>0</v>
      </c>
    </row>
    <row r="116" spans="1:11" ht="30" x14ac:dyDescent="0.25">
      <c r="A116" s="266"/>
      <c r="B116" s="1"/>
      <c r="C116" s="1"/>
      <c r="D116" s="92">
        <v>1.5</v>
      </c>
      <c r="E116" s="15" t="s">
        <v>115</v>
      </c>
      <c r="F116" s="42">
        <f t="shared" si="2"/>
        <v>1.5</v>
      </c>
      <c r="G116" s="1"/>
      <c r="H116" s="1"/>
      <c r="I116" s="15" t="s">
        <v>115</v>
      </c>
      <c r="J116" s="35">
        <v>1.5</v>
      </c>
      <c r="K116" s="46">
        <v>0</v>
      </c>
    </row>
    <row r="117" spans="1:11" x14ac:dyDescent="0.25">
      <c r="A117" s="266"/>
      <c r="B117" s="1"/>
      <c r="C117" s="1"/>
      <c r="D117" s="92">
        <v>0.01</v>
      </c>
      <c r="E117" s="15" t="s">
        <v>140</v>
      </c>
      <c r="F117" s="86">
        <f t="shared" si="2"/>
        <v>0.01</v>
      </c>
      <c r="G117" s="1"/>
      <c r="H117" s="1"/>
      <c r="I117" s="15" t="s">
        <v>140</v>
      </c>
      <c r="J117" s="28">
        <v>0.01</v>
      </c>
      <c r="K117" s="46">
        <v>0</v>
      </c>
    </row>
    <row r="118" spans="1:11" ht="30" x14ac:dyDescent="0.25">
      <c r="A118" s="266"/>
      <c r="B118" s="1"/>
      <c r="C118" s="1"/>
      <c r="D118" s="92">
        <v>5.5E-2</v>
      </c>
      <c r="E118" s="15" t="s">
        <v>141</v>
      </c>
      <c r="F118" s="42">
        <f t="shared" si="2"/>
        <v>5.5E-2</v>
      </c>
      <c r="G118" s="1"/>
      <c r="H118" s="1"/>
      <c r="I118" s="15" t="s">
        <v>141</v>
      </c>
      <c r="J118" s="28">
        <v>5.5E-2</v>
      </c>
      <c r="K118" s="46">
        <v>0</v>
      </c>
    </row>
    <row r="119" spans="1:11" x14ac:dyDescent="0.25">
      <c r="A119" s="266"/>
      <c r="B119" s="1"/>
      <c r="C119" s="1"/>
      <c r="D119" s="92">
        <v>0.96</v>
      </c>
      <c r="E119" s="15" t="s">
        <v>41</v>
      </c>
      <c r="F119" s="42">
        <f t="shared" si="2"/>
        <v>0.96</v>
      </c>
      <c r="G119" s="1"/>
      <c r="H119" s="1"/>
      <c r="I119" s="15" t="s">
        <v>41</v>
      </c>
      <c r="J119" s="28">
        <v>0.96</v>
      </c>
      <c r="K119" s="46">
        <v>0</v>
      </c>
    </row>
    <row r="120" spans="1:11" x14ac:dyDescent="0.25">
      <c r="A120" s="266"/>
      <c r="B120" s="1"/>
      <c r="C120" s="1"/>
      <c r="D120" s="92">
        <v>0.96</v>
      </c>
      <c r="E120" s="15" t="s">
        <v>142</v>
      </c>
      <c r="F120" s="42">
        <f t="shared" si="2"/>
        <v>0.96</v>
      </c>
      <c r="G120" s="1"/>
      <c r="H120" s="1"/>
      <c r="I120" s="15" t="s">
        <v>142</v>
      </c>
      <c r="J120" s="35">
        <v>0.96</v>
      </c>
      <c r="K120" s="46">
        <v>0</v>
      </c>
    </row>
    <row r="121" spans="1:11" ht="30" x14ac:dyDescent="0.25">
      <c r="A121" s="266"/>
      <c r="B121" s="1"/>
      <c r="C121" s="1"/>
      <c r="D121" s="92">
        <v>1.75</v>
      </c>
      <c r="E121" s="15" t="s">
        <v>44</v>
      </c>
      <c r="F121" s="42">
        <f t="shared" si="2"/>
        <v>1.75</v>
      </c>
      <c r="G121" s="1"/>
      <c r="H121" s="1"/>
      <c r="I121" s="15" t="s">
        <v>44</v>
      </c>
      <c r="J121" s="35">
        <v>1.75</v>
      </c>
      <c r="K121" s="46">
        <v>0</v>
      </c>
    </row>
    <row r="122" spans="1:11" ht="56.25" x14ac:dyDescent="0.3">
      <c r="A122" s="266"/>
      <c r="B122" s="52" t="s">
        <v>45</v>
      </c>
      <c r="C122" s="1"/>
      <c r="D122" s="92">
        <v>26.299499999999998</v>
      </c>
      <c r="E122" s="55" t="s">
        <v>143</v>
      </c>
      <c r="F122" s="42">
        <f t="shared" si="2"/>
        <v>26.299499999999998</v>
      </c>
      <c r="G122" s="1"/>
      <c r="H122" s="1"/>
      <c r="I122" s="55" t="s">
        <v>143</v>
      </c>
      <c r="J122" s="28">
        <v>26.299499999999998</v>
      </c>
      <c r="K122" s="46">
        <v>0</v>
      </c>
    </row>
    <row r="123" spans="1:11" ht="30" x14ac:dyDescent="0.25">
      <c r="A123" s="266"/>
      <c r="B123" s="91" t="s">
        <v>22</v>
      </c>
      <c r="C123" s="1"/>
      <c r="D123" s="92">
        <v>21.8</v>
      </c>
      <c r="E123" s="13" t="s">
        <v>139</v>
      </c>
      <c r="F123" s="42">
        <f t="shared" si="2"/>
        <v>21.8</v>
      </c>
      <c r="G123" s="1"/>
      <c r="H123" s="1"/>
      <c r="I123" s="13" t="s">
        <v>139</v>
      </c>
      <c r="J123" s="28">
        <v>21.8</v>
      </c>
      <c r="K123" s="46">
        <v>0</v>
      </c>
    </row>
    <row r="124" spans="1:11" x14ac:dyDescent="0.25">
      <c r="A124" s="266"/>
      <c r="B124" s="1"/>
      <c r="C124" s="1"/>
      <c r="D124" s="92">
        <f>0.28+0.14</f>
        <v>0.42000000000000004</v>
      </c>
      <c r="E124" s="15" t="s">
        <v>24</v>
      </c>
      <c r="F124" s="42">
        <f t="shared" si="2"/>
        <v>0.42000000000000004</v>
      </c>
      <c r="G124" s="1"/>
      <c r="H124" s="1"/>
      <c r="I124" s="15" t="s">
        <v>24</v>
      </c>
      <c r="J124" s="28">
        <f>0.28+0.14</f>
        <v>0.42000000000000004</v>
      </c>
      <c r="K124" s="46">
        <v>0</v>
      </c>
    </row>
    <row r="125" spans="1:11" ht="30" x14ac:dyDescent="0.25">
      <c r="A125" s="266"/>
      <c r="B125" s="1"/>
      <c r="C125" s="1"/>
      <c r="D125" s="92">
        <v>0.3</v>
      </c>
      <c r="E125" s="15" t="s">
        <v>144</v>
      </c>
      <c r="F125" s="42">
        <v>0.3</v>
      </c>
      <c r="G125" s="1"/>
      <c r="H125" s="1"/>
      <c r="I125" s="15" t="s">
        <v>144</v>
      </c>
      <c r="J125" s="28">
        <v>0.3</v>
      </c>
      <c r="K125" s="46">
        <v>0</v>
      </c>
    </row>
    <row r="126" spans="1:11" x14ac:dyDescent="0.25">
      <c r="A126" s="266"/>
      <c r="B126" s="1"/>
      <c r="C126" s="1"/>
      <c r="D126" s="92">
        <v>0.57999999999999996</v>
      </c>
      <c r="E126" s="15" t="s">
        <v>145</v>
      </c>
      <c r="F126" s="42">
        <f t="shared" ref="F126:F133" si="3">D126</f>
        <v>0.57999999999999996</v>
      </c>
      <c r="G126" s="1"/>
      <c r="H126" s="1"/>
      <c r="I126" s="15" t="s">
        <v>145</v>
      </c>
      <c r="J126" s="35">
        <v>0.57999999999999996</v>
      </c>
      <c r="K126" s="46">
        <v>0</v>
      </c>
    </row>
    <row r="127" spans="1:11" ht="30" x14ac:dyDescent="0.25">
      <c r="A127" s="266"/>
      <c r="B127" s="1"/>
      <c r="C127" s="1"/>
      <c r="D127" s="92">
        <v>0.28999999999999998</v>
      </c>
      <c r="E127" s="15" t="s">
        <v>147</v>
      </c>
      <c r="F127" s="42">
        <f t="shared" si="3"/>
        <v>0.28999999999999998</v>
      </c>
      <c r="G127" s="1"/>
      <c r="H127" s="1"/>
      <c r="I127" s="15" t="s">
        <v>147</v>
      </c>
      <c r="J127" s="28">
        <v>0.28999999999999998</v>
      </c>
      <c r="K127" s="46">
        <v>0</v>
      </c>
    </row>
    <row r="128" spans="1:11" x14ac:dyDescent="0.25">
      <c r="A128" s="266"/>
      <c r="B128" s="1"/>
      <c r="C128" s="1"/>
      <c r="D128" s="92">
        <v>0.56999999999999995</v>
      </c>
      <c r="E128" s="15" t="s">
        <v>146</v>
      </c>
      <c r="F128" s="42">
        <f t="shared" si="3"/>
        <v>0.56999999999999995</v>
      </c>
      <c r="G128" s="1"/>
      <c r="H128" s="1"/>
      <c r="I128" s="15" t="s">
        <v>146</v>
      </c>
      <c r="J128" s="28">
        <v>0.56999999999999995</v>
      </c>
      <c r="K128" s="46">
        <v>0</v>
      </c>
    </row>
    <row r="129" spans="1:11" ht="30" x14ac:dyDescent="0.25">
      <c r="A129" s="266"/>
      <c r="B129" s="1"/>
      <c r="C129" s="1"/>
      <c r="D129" s="92">
        <v>1.3</v>
      </c>
      <c r="E129" s="15" t="s">
        <v>42</v>
      </c>
      <c r="F129" s="42">
        <f t="shared" si="3"/>
        <v>1.3</v>
      </c>
      <c r="G129" s="1"/>
      <c r="H129" s="1"/>
      <c r="I129" s="15" t="s">
        <v>42</v>
      </c>
      <c r="J129" s="28">
        <v>1.3</v>
      </c>
      <c r="K129" s="46">
        <v>0</v>
      </c>
    </row>
    <row r="130" spans="1:11" x14ac:dyDescent="0.25">
      <c r="A130" s="266"/>
      <c r="B130" s="1"/>
      <c r="C130" s="1"/>
      <c r="D130" s="92">
        <v>0.50800000000000001</v>
      </c>
      <c r="E130" s="15" t="s">
        <v>142</v>
      </c>
      <c r="F130" s="42">
        <f t="shared" si="3"/>
        <v>0.50800000000000001</v>
      </c>
      <c r="G130" s="1"/>
      <c r="H130" s="1"/>
      <c r="I130" s="15" t="s">
        <v>142</v>
      </c>
      <c r="J130" s="28">
        <v>0.50800000000000001</v>
      </c>
      <c r="K130" s="46">
        <v>0</v>
      </c>
    </row>
    <row r="131" spans="1:11" x14ac:dyDescent="0.25">
      <c r="A131" s="266"/>
      <c r="B131" s="1"/>
      <c r="C131" s="1"/>
      <c r="D131" s="92">
        <v>0.56999999999999995</v>
      </c>
      <c r="E131" s="15" t="s">
        <v>142</v>
      </c>
      <c r="F131" s="42">
        <f t="shared" si="3"/>
        <v>0.56999999999999995</v>
      </c>
      <c r="G131" s="1"/>
      <c r="H131" s="1"/>
      <c r="I131" s="15" t="s">
        <v>142</v>
      </c>
      <c r="J131" s="28">
        <v>0.56999999999999995</v>
      </c>
      <c r="K131" s="46">
        <v>0</v>
      </c>
    </row>
    <row r="132" spans="1:11" ht="30" x14ac:dyDescent="0.25">
      <c r="A132" s="266"/>
      <c r="B132" s="1"/>
      <c r="C132" s="1"/>
      <c r="D132" s="92">
        <f>2.328</f>
        <v>2.3279999999999998</v>
      </c>
      <c r="E132" s="15" t="s">
        <v>44</v>
      </c>
      <c r="F132" s="42">
        <f t="shared" si="3"/>
        <v>2.3279999999999998</v>
      </c>
      <c r="G132" s="1"/>
      <c r="H132" s="1"/>
      <c r="I132" s="15" t="s">
        <v>44</v>
      </c>
      <c r="J132" s="28">
        <f>2.328</f>
        <v>2.3279999999999998</v>
      </c>
      <c r="K132" s="46">
        <v>0</v>
      </c>
    </row>
    <row r="133" spans="1:11" ht="75" x14ac:dyDescent="0.3">
      <c r="A133" s="266"/>
      <c r="B133" s="52" t="s">
        <v>47</v>
      </c>
      <c r="C133" s="1"/>
      <c r="D133" s="92">
        <f>4.23046+2.83935</f>
        <v>7.0698100000000004</v>
      </c>
      <c r="E133" s="15" t="s">
        <v>148</v>
      </c>
      <c r="F133" s="42">
        <f t="shared" si="3"/>
        <v>7.0698100000000004</v>
      </c>
      <c r="G133" s="1"/>
      <c r="H133" s="1"/>
      <c r="I133" s="15" t="s">
        <v>148</v>
      </c>
      <c r="J133" s="35">
        <f>2.83935+2.96132</f>
        <v>5.8006700000000002</v>
      </c>
      <c r="K133" s="28">
        <v>1.2691399999999999</v>
      </c>
    </row>
    <row r="134" spans="1:11" x14ac:dyDescent="0.25">
      <c r="A134" s="266"/>
      <c r="B134" s="1"/>
      <c r="C134" s="1"/>
      <c r="D134" s="101">
        <f>4.23624+5.65302</f>
        <v>9.8892600000000002</v>
      </c>
      <c r="E134" s="15" t="s">
        <v>51</v>
      </c>
      <c r="F134" s="42">
        <f>4.23624+5.65302</f>
        <v>9.8892600000000002</v>
      </c>
      <c r="G134" s="1"/>
      <c r="H134" s="1"/>
      <c r="I134" s="15" t="s">
        <v>51</v>
      </c>
      <c r="J134" s="35">
        <f>2.25933+4.23976</f>
        <v>6.4990900000000007</v>
      </c>
      <c r="K134" s="46">
        <f>1.97691+1.41326</f>
        <v>3.3901699999999999</v>
      </c>
    </row>
    <row r="135" spans="1:11" x14ac:dyDescent="0.25">
      <c r="A135" s="266"/>
      <c r="B135" s="1"/>
      <c r="C135" s="1"/>
      <c r="D135" s="92">
        <f>0.07477+0.06414</f>
        <v>0.13891000000000001</v>
      </c>
      <c r="E135" s="15" t="s">
        <v>149</v>
      </c>
      <c r="F135" s="42">
        <f t="shared" ref="F135:F155" si="4">D135</f>
        <v>0.13891000000000001</v>
      </c>
      <c r="G135" s="1"/>
      <c r="H135" s="1"/>
      <c r="I135" s="15" t="s">
        <v>149</v>
      </c>
      <c r="J135" s="35">
        <v>7.4770000000000003E-2</v>
      </c>
      <c r="K135" s="46">
        <f>0.064</f>
        <v>6.4000000000000001E-2</v>
      </c>
    </row>
    <row r="136" spans="1:11" x14ac:dyDescent="0.25">
      <c r="A136" s="266"/>
      <c r="B136" s="1"/>
      <c r="C136" s="1"/>
      <c r="D136" s="92">
        <v>1.917E-2</v>
      </c>
      <c r="E136" s="15" t="s">
        <v>150</v>
      </c>
      <c r="F136" s="42">
        <f t="shared" si="4"/>
        <v>1.917E-2</v>
      </c>
      <c r="G136" s="1"/>
      <c r="H136" s="1"/>
      <c r="I136" s="15" t="s">
        <v>150</v>
      </c>
      <c r="J136" s="28">
        <v>1.917E-2</v>
      </c>
      <c r="K136" s="46">
        <v>0</v>
      </c>
    </row>
    <row r="137" spans="1:11" x14ac:dyDescent="0.25">
      <c r="A137" s="266"/>
      <c r="B137" s="1"/>
      <c r="C137" s="1"/>
      <c r="D137" s="92">
        <v>0.1</v>
      </c>
      <c r="E137" s="15" t="s">
        <v>151</v>
      </c>
      <c r="F137" s="42">
        <f t="shared" si="4"/>
        <v>0.1</v>
      </c>
      <c r="G137" s="1"/>
      <c r="H137" s="1"/>
      <c r="I137" s="15" t="s">
        <v>151</v>
      </c>
      <c r="J137" s="35">
        <v>4.7E-2</v>
      </c>
      <c r="K137" s="46">
        <v>5.2999999999999999E-2</v>
      </c>
    </row>
    <row r="138" spans="1:11" x14ac:dyDescent="0.25">
      <c r="A138" s="266"/>
      <c r="B138" s="1"/>
      <c r="C138" s="1"/>
      <c r="D138" s="92">
        <v>0.11984</v>
      </c>
      <c r="E138" s="15" t="s">
        <v>152</v>
      </c>
      <c r="F138" s="42">
        <f t="shared" si="4"/>
        <v>0.11984</v>
      </c>
      <c r="G138" s="1"/>
      <c r="H138" s="1"/>
      <c r="I138" s="15" t="s">
        <v>152</v>
      </c>
      <c r="J138" s="28">
        <v>0.11984</v>
      </c>
      <c r="K138" s="46">
        <v>0</v>
      </c>
    </row>
    <row r="139" spans="1:11" x14ac:dyDescent="0.25">
      <c r="A139" s="266"/>
      <c r="B139" s="1"/>
      <c r="C139" s="1"/>
      <c r="D139" s="92">
        <v>2.5046599999999999</v>
      </c>
      <c r="E139" s="15" t="s">
        <v>153</v>
      </c>
      <c r="F139" s="42">
        <f t="shared" si="4"/>
        <v>2.5046599999999999</v>
      </c>
      <c r="G139" s="1"/>
      <c r="H139" s="1"/>
      <c r="I139" s="15" t="s">
        <v>153</v>
      </c>
      <c r="J139" s="92">
        <v>2.5046599999999999</v>
      </c>
      <c r="K139" s="46">
        <v>0</v>
      </c>
    </row>
    <row r="140" spans="1:11" x14ac:dyDescent="0.25">
      <c r="A140" s="266"/>
      <c r="B140" s="1"/>
      <c r="C140" s="1"/>
      <c r="D140" s="92">
        <v>1.028</v>
      </c>
      <c r="E140" s="15" t="s">
        <v>108</v>
      </c>
      <c r="F140" s="42">
        <f t="shared" si="4"/>
        <v>1.028</v>
      </c>
      <c r="G140" s="1"/>
      <c r="H140" s="1"/>
      <c r="I140" s="15" t="s">
        <v>108</v>
      </c>
      <c r="J140" s="35">
        <v>0.89949999999999997</v>
      </c>
      <c r="K140" s="46">
        <v>0.1285</v>
      </c>
    </row>
    <row r="141" spans="1:11" x14ac:dyDescent="0.25">
      <c r="A141" s="266"/>
      <c r="B141" s="1"/>
      <c r="C141" s="1"/>
      <c r="D141" s="92">
        <v>2.7653799999999999</v>
      </c>
      <c r="E141" s="15" t="s">
        <v>58</v>
      </c>
      <c r="F141" s="42">
        <f t="shared" si="4"/>
        <v>2.7653799999999999</v>
      </c>
      <c r="G141" s="1"/>
      <c r="H141" s="1"/>
      <c r="I141" s="15" t="s">
        <v>58</v>
      </c>
      <c r="J141" s="28">
        <v>0</v>
      </c>
      <c r="K141" s="28">
        <v>2.7653799999999999</v>
      </c>
    </row>
    <row r="142" spans="1:11" x14ac:dyDescent="0.25">
      <c r="A142" s="266"/>
      <c r="B142" s="1"/>
      <c r="C142" s="1"/>
      <c r="D142" s="92">
        <v>4.1239999999999999E-2</v>
      </c>
      <c r="E142" s="15" t="s">
        <v>154</v>
      </c>
      <c r="F142" s="42">
        <f t="shared" si="4"/>
        <v>4.1239999999999999E-2</v>
      </c>
      <c r="G142" s="1"/>
      <c r="H142" s="1"/>
      <c r="I142" s="15" t="s">
        <v>154</v>
      </c>
      <c r="J142" s="28">
        <v>4.1239999999999999E-2</v>
      </c>
      <c r="K142" s="46">
        <v>0</v>
      </c>
    </row>
    <row r="143" spans="1:11" ht="30" x14ac:dyDescent="0.25">
      <c r="A143" s="266"/>
      <c r="B143" s="1"/>
      <c r="C143" s="1"/>
      <c r="D143" s="92">
        <f>0.30602+0.09416+0.30602+0.32956</f>
        <v>1.03576</v>
      </c>
      <c r="E143" s="15" t="s">
        <v>155</v>
      </c>
      <c r="F143" s="42">
        <f t="shared" si="4"/>
        <v>1.03576</v>
      </c>
      <c r="G143" s="1"/>
      <c r="H143" s="1"/>
      <c r="I143" s="15" t="s">
        <v>155</v>
      </c>
      <c r="J143" s="28">
        <f>0.30602+0.09416+0.30602+0.08239</f>
        <v>0.7885899999999999</v>
      </c>
      <c r="K143" s="46">
        <f>0.24717</f>
        <v>0.24717</v>
      </c>
    </row>
    <row r="144" spans="1:11" x14ac:dyDescent="0.25">
      <c r="A144" s="266"/>
      <c r="B144" s="1"/>
      <c r="C144" s="1"/>
      <c r="D144" s="92">
        <v>6.7140000000000005E-2</v>
      </c>
      <c r="E144" s="15" t="s">
        <v>156</v>
      </c>
      <c r="F144" s="42">
        <f t="shared" si="4"/>
        <v>6.7140000000000005E-2</v>
      </c>
      <c r="G144" s="1"/>
      <c r="H144" s="1"/>
      <c r="I144" s="15" t="s">
        <v>156</v>
      </c>
      <c r="J144" s="35">
        <v>2.6859999999999998E-2</v>
      </c>
      <c r="K144" s="28">
        <v>4.0280000000000003E-2</v>
      </c>
    </row>
    <row r="145" spans="1:11" x14ac:dyDescent="0.25">
      <c r="A145" s="266"/>
      <c r="B145" s="1"/>
      <c r="C145" s="1"/>
      <c r="D145" s="92">
        <f>0.07723+0.13428</f>
        <v>0.21151</v>
      </c>
      <c r="E145" s="15" t="s">
        <v>157</v>
      </c>
      <c r="F145" s="42">
        <f t="shared" si="4"/>
        <v>0.21151</v>
      </c>
      <c r="G145" s="1"/>
      <c r="H145" s="1"/>
      <c r="I145" s="15" t="s">
        <v>157</v>
      </c>
      <c r="J145" s="35">
        <f>0.07723+0.04028</f>
        <v>0.11751</v>
      </c>
      <c r="K145" s="46">
        <f>0.094</f>
        <v>9.4E-2</v>
      </c>
    </row>
    <row r="146" spans="1:11" x14ac:dyDescent="0.25">
      <c r="A146" s="266"/>
      <c r="B146" s="1"/>
      <c r="C146" s="1"/>
      <c r="D146" s="92">
        <f>0.0612+0.0306</f>
        <v>9.1799999999999993E-2</v>
      </c>
      <c r="E146" s="15" t="s">
        <v>109</v>
      </c>
      <c r="F146" s="42">
        <f t="shared" si="4"/>
        <v>9.1799999999999993E-2</v>
      </c>
      <c r="G146" s="1"/>
      <c r="H146" s="1"/>
      <c r="I146" s="15" t="s">
        <v>109</v>
      </c>
      <c r="J146" s="28">
        <f>0.0612+0.01836</f>
        <v>7.9559999999999992E-2</v>
      </c>
      <c r="K146" s="46">
        <f>0.01224</f>
        <v>1.2239999999999999E-2</v>
      </c>
    </row>
    <row r="147" spans="1:11" x14ac:dyDescent="0.25">
      <c r="A147" s="266"/>
      <c r="B147" s="1"/>
      <c r="C147" s="1"/>
      <c r="D147" s="92">
        <f>0.48657+0.51591</f>
        <v>1.00248</v>
      </c>
      <c r="E147" s="15" t="s">
        <v>158</v>
      </c>
      <c r="F147" s="42">
        <f t="shared" si="4"/>
        <v>1.00248</v>
      </c>
      <c r="G147" s="1"/>
      <c r="H147" s="1"/>
      <c r="I147" s="15" t="s">
        <v>158</v>
      </c>
      <c r="J147" s="28">
        <f>0.48657+0.51591</f>
        <v>1.00248</v>
      </c>
      <c r="K147" s="46">
        <v>0</v>
      </c>
    </row>
    <row r="148" spans="1:11" x14ac:dyDescent="0.25">
      <c r="A148" s="266"/>
      <c r="B148" s="1"/>
      <c r="C148" s="1"/>
      <c r="D148" s="92">
        <f>0.11055+0.75799</f>
        <v>0.86854000000000009</v>
      </c>
      <c r="E148" s="15" t="s">
        <v>159</v>
      </c>
      <c r="F148" s="42">
        <f t="shared" si="4"/>
        <v>0.86854000000000009</v>
      </c>
      <c r="G148" s="1"/>
      <c r="H148" s="1"/>
      <c r="I148" s="15" t="s">
        <v>159</v>
      </c>
      <c r="J148" s="28">
        <f>0.11055+0.75799</f>
        <v>0.86854000000000009</v>
      </c>
      <c r="K148" s="46">
        <v>0</v>
      </c>
    </row>
    <row r="149" spans="1:11" x14ac:dyDescent="0.25">
      <c r="A149" s="266"/>
      <c r="B149" s="1"/>
      <c r="C149" s="1"/>
      <c r="D149" s="92">
        <v>15.589130000000001</v>
      </c>
      <c r="E149" s="15" t="s">
        <v>160</v>
      </c>
      <c r="F149" s="42">
        <f t="shared" si="4"/>
        <v>15.589130000000001</v>
      </c>
      <c r="G149" s="1"/>
      <c r="H149" s="1"/>
      <c r="I149" s="15" t="s">
        <v>160</v>
      </c>
      <c r="J149" s="28">
        <v>14.03021</v>
      </c>
      <c r="K149" s="46">
        <v>1.5589200000000001</v>
      </c>
    </row>
    <row r="150" spans="1:11" x14ac:dyDescent="0.25">
      <c r="A150" s="266"/>
      <c r="B150" s="1"/>
      <c r="C150" s="1"/>
      <c r="D150" s="92">
        <f>0.01485+0.04455</f>
        <v>5.9400000000000001E-2</v>
      </c>
      <c r="E150" s="15" t="s">
        <v>62</v>
      </c>
      <c r="F150" s="42">
        <f t="shared" si="4"/>
        <v>5.9400000000000001E-2</v>
      </c>
      <c r="G150" s="1"/>
      <c r="H150" s="1"/>
      <c r="I150" s="15" t="s">
        <v>161</v>
      </c>
      <c r="J150" s="28">
        <f>0.01485+0.0104</f>
        <v>2.5250000000000002E-2</v>
      </c>
      <c r="K150" s="46">
        <v>3.415E-2</v>
      </c>
    </row>
    <row r="151" spans="1:11" x14ac:dyDescent="0.25">
      <c r="A151" s="266"/>
      <c r="B151" s="1"/>
      <c r="C151" s="1"/>
      <c r="D151" s="92">
        <v>0.69474999999999998</v>
      </c>
      <c r="E151" s="15" t="s">
        <v>63</v>
      </c>
      <c r="F151" s="42">
        <f t="shared" si="4"/>
        <v>0.69474999999999998</v>
      </c>
      <c r="G151" s="1"/>
      <c r="H151" s="1"/>
      <c r="I151" s="15" t="s">
        <v>63</v>
      </c>
      <c r="J151" s="28">
        <v>0.69474999999999998</v>
      </c>
      <c r="K151" s="46">
        <v>0</v>
      </c>
    </row>
    <row r="152" spans="1:11" x14ac:dyDescent="0.25">
      <c r="A152" s="266"/>
      <c r="B152" s="1"/>
      <c r="C152" s="1"/>
      <c r="D152" s="92">
        <f>0.05254+0.13134</f>
        <v>0.18388000000000002</v>
      </c>
      <c r="E152" s="15" t="s">
        <v>64</v>
      </c>
      <c r="F152" s="42">
        <f t="shared" si="4"/>
        <v>0.18388000000000002</v>
      </c>
      <c r="G152" s="1"/>
      <c r="H152" s="1"/>
      <c r="I152" s="15" t="s">
        <v>64</v>
      </c>
      <c r="J152" s="28">
        <f>0.05254+0.13134</f>
        <v>0.18388000000000002</v>
      </c>
      <c r="K152" s="46">
        <v>0</v>
      </c>
    </row>
    <row r="153" spans="1:11" x14ac:dyDescent="0.25">
      <c r="A153" s="266"/>
      <c r="B153" s="1"/>
      <c r="C153" s="1"/>
      <c r="D153" s="92">
        <v>1.8679999999999999E-2</v>
      </c>
      <c r="E153" s="15" t="s">
        <v>162</v>
      </c>
      <c r="F153" s="42">
        <f t="shared" si="4"/>
        <v>1.8679999999999999E-2</v>
      </c>
      <c r="G153" s="1"/>
      <c r="H153" s="1"/>
      <c r="I153" s="15" t="s">
        <v>162</v>
      </c>
      <c r="J153" s="35">
        <v>0</v>
      </c>
      <c r="K153" s="46">
        <v>1.8679999999999999E-2</v>
      </c>
    </row>
    <row r="154" spans="1:11" x14ac:dyDescent="0.25">
      <c r="A154" s="266"/>
      <c r="B154" s="1"/>
      <c r="C154" s="1"/>
      <c r="D154" s="92">
        <v>0.88500000000000001</v>
      </c>
      <c r="E154" s="15" t="s">
        <v>163</v>
      </c>
      <c r="F154" s="42">
        <f t="shared" si="4"/>
        <v>0.88500000000000001</v>
      </c>
      <c r="G154" s="1"/>
      <c r="H154" s="1"/>
      <c r="I154" s="15" t="s">
        <v>163</v>
      </c>
      <c r="J154" s="35">
        <v>0.88500000000000001</v>
      </c>
      <c r="K154" s="46">
        <v>0</v>
      </c>
    </row>
    <row r="155" spans="1:11" x14ac:dyDescent="0.25">
      <c r="A155" s="266"/>
      <c r="B155" s="1"/>
      <c r="C155" s="1"/>
      <c r="D155" s="92">
        <v>0.1095</v>
      </c>
      <c r="E155" s="15" t="s">
        <v>164</v>
      </c>
      <c r="F155" s="42">
        <f t="shared" si="4"/>
        <v>0.1095</v>
      </c>
      <c r="G155" s="1"/>
      <c r="H155" s="1"/>
      <c r="I155" s="15" t="s">
        <v>164</v>
      </c>
      <c r="J155" s="35">
        <v>6.5699999999999995E-2</v>
      </c>
      <c r="K155" s="46">
        <v>4.3799999999999999E-2</v>
      </c>
    </row>
    <row r="156" spans="1:11" x14ac:dyDescent="0.25">
      <c r="A156" s="266"/>
      <c r="B156" s="1"/>
      <c r="C156" s="1"/>
      <c r="D156" s="92">
        <f>0.54236</f>
        <v>0.54235999999999995</v>
      </c>
      <c r="E156" s="15" t="s">
        <v>165</v>
      </c>
      <c r="F156" s="42">
        <v>0.54235999999999995</v>
      </c>
      <c r="G156" s="1"/>
      <c r="H156" s="1"/>
      <c r="I156" s="15" t="s">
        <v>165</v>
      </c>
      <c r="J156" s="35">
        <v>0.32768000000000003</v>
      </c>
      <c r="K156" s="46">
        <v>0.21468000000000001</v>
      </c>
    </row>
    <row r="157" spans="1:11" x14ac:dyDescent="0.25">
      <c r="A157" s="266"/>
      <c r="B157" s="1"/>
      <c r="C157" s="1"/>
      <c r="D157" s="92">
        <v>0.32250000000000001</v>
      </c>
      <c r="E157" s="15" t="s">
        <v>166</v>
      </c>
      <c r="F157" s="42">
        <f t="shared" ref="F157:F182" si="5">D157</f>
        <v>0.32250000000000001</v>
      </c>
      <c r="G157" s="1"/>
      <c r="H157" s="1"/>
      <c r="I157" s="15" t="s">
        <v>166</v>
      </c>
      <c r="J157" s="46">
        <v>0.32250000000000001</v>
      </c>
      <c r="K157" s="46">
        <v>0</v>
      </c>
    </row>
    <row r="158" spans="1:11" x14ac:dyDescent="0.25">
      <c r="A158" s="266"/>
      <c r="B158" s="1"/>
      <c r="C158" s="1"/>
      <c r="D158" s="92">
        <f>0.72866+0.58294</f>
        <v>1.3115999999999999</v>
      </c>
      <c r="E158" s="15" t="s">
        <v>69</v>
      </c>
      <c r="F158" s="42">
        <f t="shared" si="5"/>
        <v>1.3115999999999999</v>
      </c>
      <c r="G158" s="1"/>
      <c r="H158" s="1"/>
      <c r="I158" s="15" t="s">
        <v>69</v>
      </c>
      <c r="J158" s="28">
        <f>0.72866+0.32255</f>
        <v>1.05121</v>
      </c>
      <c r="K158" s="46">
        <v>0.26039000000000001</v>
      </c>
    </row>
    <row r="159" spans="1:11" x14ac:dyDescent="0.25">
      <c r="A159" s="266"/>
      <c r="B159" s="1"/>
      <c r="C159" s="1"/>
      <c r="D159" s="92">
        <v>0.21185999999999999</v>
      </c>
      <c r="E159" s="15" t="s">
        <v>167</v>
      </c>
      <c r="F159" s="42">
        <f t="shared" si="5"/>
        <v>0.21185999999999999</v>
      </c>
      <c r="G159" s="1"/>
      <c r="H159" s="1"/>
      <c r="I159" s="15" t="s">
        <v>167</v>
      </c>
      <c r="J159" s="28">
        <v>0.21185999999999999</v>
      </c>
      <c r="K159" s="46">
        <v>0</v>
      </c>
    </row>
    <row r="160" spans="1:11" ht="30" x14ac:dyDescent="0.25">
      <c r="A160" s="266"/>
      <c r="B160" s="1"/>
      <c r="C160" s="1"/>
      <c r="D160" s="92">
        <v>0.24890000000000001</v>
      </c>
      <c r="E160" s="15" t="s">
        <v>168</v>
      </c>
      <c r="F160" s="42">
        <f t="shared" si="5"/>
        <v>0.24890000000000001</v>
      </c>
      <c r="G160" s="1"/>
      <c r="H160" s="1"/>
      <c r="I160" s="15" t="s">
        <v>168</v>
      </c>
      <c r="J160" s="35">
        <v>0</v>
      </c>
      <c r="K160" s="46">
        <v>0.24890000000000001</v>
      </c>
    </row>
    <row r="161" spans="1:11" x14ac:dyDescent="0.25">
      <c r="A161" s="266"/>
      <c r="B161" s="1"/>
      <c r="C161" s="1"/>
      <c r="D161" s="92">
        <v>0.75600000000000001</v>
      </c>
      <c r="E161" s="15" t="s">
        <v>70</v>
      </c>
      <c r="F161" s="42">
        <f t="shared" si="5"/>
        <v>0.75600000000000001</v>
      </c>
      <c r="G161" s="1"/>
      <c r="H161" s="1"/>
      <c r="I161" s="15" t="s">
        <v>70</v>
      </c>
      <c r="J161" s="28">
        <v>0.75600000000000001</v>
      </c>
      <c r="K161" s="46">
        <v>0</v>
      </c>
    </row>
    <row r="162" spans="1:11" ht="30" x14ac:dyDescent="0.25">
      <c r="A162" s="266"/>
      <c r="B162" s="1"/>
      <c r="C162" s="1"/>
      <c r="D162" s="92">
        <v>0.21801999999999999</v>
      </c>
      <c r="E162" s="15" t="s">
        <v>169</v>
      </c>
      <c r="F162" s="42">
        <f t="shared" si="5"/>
        <v>0.21801999999999999</v>
      </c>
      <c r="G162" s="1"/>
      <c r="H162" s="1"/>
      <c r="I162" s="15" t="s">
        <v>169</v>
      </c>
      <c r="J162" s="35">
        <v>6.5409999999999996E-2</v>
      </c>
      <c r="K162" s="46">
        <v>0.15261</v>
      </c>
    </row>
    <row r="163" spans="1:11" ht="30" x14ac:dyDescent="0.25">
      <c r="A163" s="266"/>
      <c r="B163" s="1"/>
      <c r="C163" s="1"/>
      <c r="D163" s="92">
        <v>2.34572</v>
      </c>
      <c r="E163" s="15" t="s">
        <v>170</v>
      </c>
      <c r="F163" s="42">
        <f t="shared" si="5"/>
        <v>2.34572</v>
      </c>
      <c r="G163" s="1"/>
      <c r="H163" s="1"/>
      <c r="I163" s="15" t="s">
        <v>170</v>
      </c>
      <c r="J163" s="35">
        <v>1.17286</v>
      </c>
      <c r="K163" s="46">
        <v>1.17286</v>
      </c>
    </row>
    <row r="164" spans="1:11" x14ac:dyDescent="0.25">
      <c r="A164" s="266"/>
      <c r="B164" s="1"/>
      <c r="C164" s="1"/>
      <c r="D164" s="92">
        <v>5.6599999999999998E-2</v>
      </c>
      <c r="E164" s="15" t="s">
        <v>171</v>
      </c>
      <c r="F164" s="42">
        <f t="shared" si="5"/>
        <v>5.6599999999999998E-2</v>
      </c>
      <c r="G164" s="1"/>
      <c r="H164" s="1"/>
      <c r="I164" s="15" t="s">
        <v>171</v>
      </c>
      <c r="J164" s="35">
        <f>D164</f>
        <v>5.6599999999999998E-2</v>
      </c>
      <c r="K164" s="46">
        <v>0</v>
      </c>
    </row>
    <row r="165" spans="1:11" ht="30" x14ac:dyDescent="0.25">
      <c r="A165" s="263"/>
      <c r="B165" s="1"/>
      <c r="C165" s="1"/>
      <c r="D165" s="92">
        <f>3.61574+0.80357+0.7062</f>
        <v>5.1255100000000002</v>
      </c>
      <c r="E165" s="15" t="s">
        <v>172</v>
      </c>
      <c r="F165" s="93">
        <f t="shared" si="5"/>
        <v>5.1255100000000002</v>
      </c>
      <c r="G165" s="1"/>
      <c r="H165" s="1"/>
      <c r="I165" s="15" t="s">
        <v>172</v>
      </c>
      <c r="J165" s="92">
        <f>3.61574+0.80357+0.7062</f>
        <v>5.1255100000000002</v>
      </c>
      <c r="K165" s="35">
        <v>0</v>
      </c>
    </row>
    <row r="166" spans="1:11" x14ac:dyDescent="0.25">
      <c r="A166" s="11"/>
      <c r="B166" s="1"/>
      <c r="C166" s="1"/>
      <c r="D166" s="92">
        <v>0.84545999999999999</v>
      </c>
      <c r="E166" s="1" t="s">
        <v>173</v>
      </c>
      <c r="F166" s="93">
        <f t="shared" si="5"/>
        <v>0.84545999999999999</v>
      </c>
      <c r="G166" s="1"/>
      <c r="H166" s="1"/>
      <c r="I166" s="1" t="s">
        <v>173</v>
      </c>
      <c r="J166" s="28">
        <v>0.84545999999999999</v>
      </c>
      <c r="K166" s="35">
        <v>0</v>
      </c>
    </row>
    <row r="167" spans="1:11" x14ac:dyDescent="0.25">
      <c r="A167" s="11"/>
      <c r="B167" s="1"/>
      <c r="C167" s="1"/>
      <c r="D167" s="92">
        <v>6.0389999999999999E-2</v>
      </c>
      <c r="E167" s="1" t="s">
        <v>174</v>
      </c>
      <c r="F167" s="93">
        <f t="shared" si="5"/>
        <v>6.0389999999999999E-2</v>
      </c>
      <c r="G167" s="1"/>
      <c r="H167" s="1"/>
      <c r="I167" s="1" t="s">
        <v>174</v>
      </c>
      <c r="J167" s="28">
        <v>6.0389999999999999E-2</v>
      </c>
      <c r="K167" s="35">
        <v>0</v>
      </c>
    </row>
    <row r="168" spans="1:11" x14ac:dyDescent="0.25">
      <c r="A168" s="11"/>
      <c r="B168" s="1"/>
      <c r="C168" s="1"/>
      <c r="D168" s="92">
        <v>13.696730000000001</v>
      </c>
      <c r="E168" s="1" t="s">
        <v>77</v>
      </c>
      <c r="F168" s="93">
        <f t="shared" si="5"/>
        <v>13.696730000000001</v>
      </c>
      <c r="G168" s="1"/>
      <c r="H168" s="1"/>
      <c r="I168" s="1" t="s">
        <v>77</v>
      </c>
      <c r="J168" s="35">
        <v>13.13743</v>
      </c>
      <c r="K168" s="28">
        <v>0.55930000000000002</v>
      </c>
    </row>
    <row r="169" spans="1:11" ht="30" x14ac:dyDescent="0.25">
      <c r="A169" s="11"/>
      <c r="B169" s="1"/>
      <c r="C169" s="1"/>
      <c r="D169" s="92">
        <v>0.45902999999999999</v>
      </c>
      <c r="E169" s="15" t="s">
        <v>175</v>
      </c>
      <c r="F169" s="93">
        <f t="shared" si="5"/>
        <v>0.45902999999999999</v>
      </c>
      <c r="G169" s="1"/>
      <c r="H169" s="1"/>
      <c r="I169" s="15" t="s">
        <v>175</v>
      </c>
      <c r="J169" s="35">
        <v>0.35310000000000002</v>
      </c>
      <c r="K169" s="35">
        <v>0.10593</v>
      </c>
    </row>
    <row r="170" spans="1:11" ht="30" x14ac:dyDescent="0.25">
      <c r="A170" s="11"/>
      <c r="B170" s="1"/>
      <c r="C170" s="1"/>
      <c r="D170" s="92">
        <f>0.07918+0.07918+0.07233</f>
        <v>0.23069000000000001</v>
      </c>
      <c r="E170" s="15" t="s">
        <v>176</v>
      </c>
      <c r="F170" s="93">
        <f t="shared" si="5"/>
        <v>0.23069000000000001</v>
      </c>
      <c r="G170" s="1"/>
      <c r="H170" s="1"/>
      <c r="I170" s="15" t="s">
        <v>176</v>
      </c>
      <c r="J170" s="35">
        <v>0.18184</v>
      </c>
      <c r="K170" s="35">
        <v>4.8849999999999998E-2</v>
      </c>
    </row>
    <row r="171" spans="1:11" ht="30" x14ac:dyDescent="0.25">
      <c r="A171" s="11"/>
      <c r="B171" s="1"/>
      <c r="C171" s="1"/>
      <c r="D171" s="92">
        <v>5.2639999999999999E-2</v>
      </c>
      <c r="E171" s="15" t="s">
        <v>177</v>
      </c>
      <c r="F171" s="93">
        <f t="shared" si="5"/>
        <v>5.2639999999999999E-2</v>
      </c>
      <c r="G171" s="1"/>
      <c r="H171" s="1"/>
      <c r="I171" s="15" t="s">
        <v>177</v>
      </c>
      <c r="J171" s="28">
        <v>5.2639999999999999E-2</v>
      </c>
      <c r="K171" s="35">
        <v>0</v>
      </c>
    </row>
    <row r="172" spans="1:11" x14ac:dyDescent="0.25">
      <c r="A172" s="11"/>
      <c r="B172" s="1"/>
      <c r="C172" s="1"/>
      <c r="D172" s="92">
        <v>0.20127</v>
      </c>
      <c r="E172" s="1" t="s">
        <v>178</v>
      </c>
      <c r="F172" s="93">
        <f t="shared" si="5"/>
        <v>0.20127</v>
      </c>
      <c r="G172" s="1"/>
      <c r="H172" s="1"/>
      <c r="I172" s="1" t="s">
        <v>178</v>
      </c>
      <c r="J172" s="28">
        <v>0.20127</v>
      </c>
      <c r="K172" s="35">
        <v>0</v>
      </c>
    </row>
    <row r="173" spans="1:11" x14ac:dyDescent="0.25">
      <c r="A173" s="11"/>
      <c r="B173" s="1"/>
      <c r="C173" s="1"/>
      <c r="D173" s="92">
        <v>0.21929999999999999</v>
      </c>
      <c r="E173" s="1" t="s">
        <v>179</v>
      </c>
      <c r="F173" s="93">
        <f t="shared" si="5"/>
        <v>0.21929999999999999</v>
      </c>
      <c r="G173" s="1"/>
      <c r="H173" s="1"/>
      <c r="I173" s="1" t="s">
        <v>179</v>
      </c>
      <c r="J173" s="28">
        <v>0.11609999999999999</v>
      </c>
      <c r="K173" s="35">
        <v>0.1032</v>
      </c>
    </row>
    <row r="174" spans="1:11" x14ac:dyDescent="0.25">
      <c r="A174" s="11"/>
      <c r="B174" s="1"/>
      <c r="C174" s="1"/>
      <c r="D174" s="92">
        <f>0.222+1.4589</f>
        <v>1.6809000000000001</v>
      </c>
      <c r="E174" s="1" t="s">
        <v>180</v>
      </c>
      <c r="F174" s="93">
        <f t="shared" si="5"/>
        <v>1.6809000000000001</v>
      </c>
      <c r="G174" s="1"/>
      <c r="H174" s="1"/>
      <c r="I174" s="1" t="s">
        <v>180</v>
      </c>
      <c r="J174" s="28">
        <v>1.1297600000000001</v>
      </c>
      <c r="K174" s="35">
        <v>0.55113999999999996</v>
      </c>
    </row>
    <row r="175" spans="1:11" x14ac:dyDescent="0.25">
      <c r="A175" s="11"/>
      <c r="B175" s="1"/>
      <c r="C175" s="1"/>
      <c r="D175" s="92">
        <v>0.2064</v>
      </c>
      <c r="E175" s="1" t="s">
        <v>181</v>
      </c>
      <c r="F175" s="93">
        <f t="shared" si="5"/>
        <v>0.2064</v>
      </c>
      <c r="G175" s="1"/>
      <c r="H175" s="1"/>
      <c r="I175" s="1" t="s">
        <v>181</v>
      </c>
      <c r="J175" s="28">
        <v>0.2064</v>
      </c>
      <c r="K175" s="35">
        <v>0</v>
      </c>
    </row>
    <row r="176" spans="1:11" x14ac:dyDescent="0.25">
      <c r="A176" s="11"/>
      <c r="B176" s="1"/>
      <c r="C176" s="1"/>
      <c r="D176" s="92">
        <v>10.098660000000001</v>
      </c>
      <c r="E176" s="1" t="s">
        <v>182</v>
      </c>
      <c r="F176" s="93">
        <f t="shared" si="5"/>
        <v>10.098660000000001</v>
      </c>
      <c r="G176" s="1"/>
      <c r="H176" s="1"/>
      <c r="I176" s="1" t="s">
        <v>182</v>
      </c>
      <c r="J176" s="28">
        <v>10.098660000000001</v>
      </c>
      <c r="K176" s="35">
        <v>0</v>
      </c>
    </row>
    <row r="177" spans="1:11" x14ac:dyDescent="0.25">
      <c r="A177" s="11"/>
      <c r="B177" s="1"/>
      <c r="C177" s="1"/>
      <c r="D177" s="92">
        <f>2.33046+8.70039</f>
        <v>11.030850000000001</v>
      </c>
      <c r="E177" s="1" t="s">
        <v>89</v>
      </c>
      <c r="F177" s="93">
        <f t="shared" si="5"/>
        <v>11.030850000000001</v>
      </c>
      <c r="G177" s="1"/>
      <c r="H177" s="1"/>
      <c r="I177" s="1" t="s">
        <v>89</v>
      </c>
      <c r="J177" s="28">
        <v>9.6731499999999997</v>
      </c>
      <c r="K177" s="35">
        <v>1.3577900000000001</v>
      </c>
    </row>
    <row r="178" spans="1:11" ht="45" x14ac:dyDescent="0.25">
      <c r="A178" s="11"/>
      <c r="B178" s="1"/>
      <c r="C178" s="1"/>
      <c r="D178" s="92">
        <v>0.73028000000000004</v>
      </c>
      <c r="E178" s="15" t="s">
        <v>183</v>
      </c>
      <c r="F178" s="93">
        <f t="shared" si="5"/>
        <v>0.73028000000000004</v>
      </c>
      <c r="G178" s="1"/>
      <c r="H178" s="1"/>
      <c r="I178" s="15" t="s">
        <v>184</v>
      </c>
      <c r="J178" s="35">
        <v>0.73028000000000004</v>
      </c>
      <c r="K178" s="35">
        <v>0</v>
      </c>
    </row>
    <row r="179" spans="1:11" ht="45" x14ac:dyDescent="0.25">
      <c r="A179" s="11"/>
      <c r="B179" s="1"/>
      <c r="C179" s="1"/>
      <c r="D179" s="92">
        <v>2.4039999999999999</v>
      </c>
      <c r="E179" s="15" t="s">
        <v>185</v>
      </c>
      <c r="F179" s="94">
        <f t="shared" si="5"/>
        <v>2.4039999999999999</v>
      </c>
      <c r="G179" s="1"/>
      <c r="H179" s="1"/>
      <c r="I179" s="15" t="s">
        <v>185</v>
      </c>
      <c r="J179" s="35">
        <v>2.4039999999999999</v>
      </c>
      <c r="K179" s="35">
        <v>0</v>
      </c>
    </row>
    <row r="180" spans="1:11" ht="45" x14ac:dyDescent="0.25">
      <c r="A180" s="11"/>
      <c r="B180" s="1"/>
      <c r="C180" s="1"/>
      <c r="D180" s="92">
        <v>4.0868000000000002</v>
      </c>
      <c r="E180" s="15" t="s">
        <v>186</v>
      </c>
      <c r="F180" s="93">
        <f t="shared" si="5"/>
        <v>4.0868000000000002</v>
      </c>
      <c r="G180" s="1"/>
      <c r="H180" s="1"/>
      <c r="I180" s="15" t="s">
        <v>186</v>
      </c>
      <c r="J180" s="35">
        <v>2.99899</v>
      </c>
      <c r="K180" s="35">
        <v>1.0878099999999999</v>
      </c>
    </row>
    <row r="181" spans="1:11" ht="45" x14ac:dyDescent="0.25">
      <c r="A181" s="11"/>
      <c r="B181" s="1"/>
      <c r="C181" s="1"/>
      <c r="D181" s="92">
        <v>4.3272000000000004</v>
      </c>
      <c r="E181" s="15" t="s">
        <v>204</v>
      </c>
      <c r="F181" s="93">
        <f t="shared" si="5"/>
        <v>4.3272000000000004</v>
      </c>
      <c r="G181" s="1"/>
      <c r="H181" s="1"/>
      <c r="I181" s="15" t="s">
        <v>186</v>
      </c>
      <c r="J181" s="35">
        <v>1.3823000000000001</v>
      </c>
      <c r="K181" s="35">
        <v>2.9449000000000001</v>
      </c>
    </row>
    <row r="182" spans="1:11" ht="45" x14ac:dyDescent="0.25">
      <c r="A182" s="11"/>
      <c r="B182" s="1"/>
      <c r="C182" s="1"/>
      <c r="D182" s="92">
        <v>3.3054999999999999</v>
      </c>
      <c r="E182" s="15" t="s">
        <v>205</v>
      </c>
      <c r="F182" s="93">
        <f t="shared" si="5"/>
        <v>3.3054999999999999</v>
      </c>
      <c r="G182" s="1"/>
      <c r="H182" s="1"/>
      <c r="I182" s="15" t="s">
        <v>186</v>
      </c>
      <c r="J182" s="35">
        <v>3.3054999999999999</v>
      </c>
      <c r="K182" s="35">
        <v>0</v>
      </c>
    </row>
    <row r="183" spans="1:11" x14ac:dyDescent="0.25">
      <c r="A183" s="11"/>
      <c r="B183" s="1"/>
      <c r="C183" s="1"/>
      <c r="D183" s="92">
        <v>2.3210199999999999</v>
      </c>
      <c r="E183" s="15" t="s">
        <v>187</v>
      </c>
      <c r="F183" s="93">
        <v>2.3210199999999999</v>
      </c>
      <c r="G183" s="1"/>
      <c r="H183" s="1"/>
      <c r="I183" s="15" t="s">
        <v>187</v>
      </c>
      <c r="J183" s="35">
        <v>2.3210199999999999</v>
      </c>
      <c r="K183" s="35">
        <v>0</v>
      </c>
    </row>
    <row r="184" spans="1:11" x14ac:dyDescent="0.25">
      <c r="A184" s="11"/>
      <c r="B184" s="1"/>
      <c r="C184" s="1"/>
      <c r="D184" s="92">
        <v>1.7351300000000001</v>
      </c>
      <c r="E184" s="15" t="s">
        <v>188</v>
      </c>
      <c r="F184" s="93">
        <f t="shared" ref="F184:F190" si="6">D184</f>
        <v>1.7351300000000001</v>
      </c>
      <c r="G184" s="1"/>
      <c r="H184" s="1"/>
      <c r="I184" s="15" t="s">
        <v>188</v>
      </c>
      <c r="J184" s="28">
        <v>1.7351300000000001</v>
      </c>
      <c r="K184" s="35">
        <v>0</v>
      </c>
    </row>
    <row r="185" spans="1:11" x14ac:dyDescent="0.25">
      <c r="A185" s="11"/>
      <c r="B185" s="1"/>
      <c r="C185" s="1"/>
      <c r="D185" s="92">
        <f>0.8113+1.38886+0.13968</f>
        <v>2.3398399999999997</v>
      </c>
      <c r="E185" s="15" t="s">
        <v>91</v>
      </c>
      <c r="F185" s="93">
        <f t="shared" si="6"/>
        <v>2.3398399999999997</v>
      </c>
      <c r="G185" s="1"/>
      <c r="H185" s="1"/>
      <c r="I185" s="15" t="s">
        <v>91</v>
      </c>
      <c r="J185" s="92">
        <f>0.8113+1.38886+0.13968</f>
        <v>2.3398399999999997</v>
      </c>
      <c r="K185" s="28">
        <v>0</v>
      </c>
    </row>
    <row r="186" spans="1:11" ht="30" x14ac:dyDescent="0.25">
      <c r="A186" s="11"/>
      <c r="B186" s="1"/>
      <c r="C186" s="1"/>
      <c r="D186" s="92">
        <v>1.83538</v>
      </c>
      <c r="E186" s="15" t="s">
        <v>189</v>
      </c>
      <c r="F186" s="93">
        <f t="shared" si="6"/>
        <v>1.83538</v>
      </c>
      <c r="G186" s="1"/>
      <c r="H186" s="1"/>
      <c r="I186" s="15" t="s">
        <v>189</v>
      </c>
      <c r="J186" s="35">
        <v>0</v>
      </c>
      <c r="K186" s="28">
        <v>1.83538</v>
      </c>
    </row>
    <row r="187" spans="1:11" x14ac:dyDescent="0.25">
      <c r="A187" s="11"/>
      <c r="B187" s="1"/>
      <c r="C187" s="1"/>
      <c r="D187" s="92">
        <v>0.48992999999999998</v>
      </c>
      <c r="E187" s="15" t="s">
        <v>197</v>
      </c>
      <c r="F187" s="93">
        <f t="shared" si="6"/>
        <v>0.48992999999999998</v>
      </c>
      <c r="G187" s="1"/>
      <c r="H187" s="1"/>
      <c r="I187" s="15" t="s">
        <v>197</v>
      </c>
      <c r="J187" s="28">
        <v>0.48992999999999998</v>
      </c>
      <c r="K187" s="28">
        <v>0</v>
      </c>
    </row>
    <row r="188" spans="1:11" x14ac:dyDescent="0.25">
      <c r="A188" s="11"/>
      <c r="B188" s="1"/>
      <c r="C188" s="1"/>
      <c r="D188" s="92">
        <v>6.7630299999999997</v>
      </c>
      <c r="E188" s="15" t="s">
        <v>190</v>
      </c>
      <c r="F188" s="93">
        <f t="shared" si="6"/>
        <v>6.7630299999999997</v>
      </c>
      <c r="G188" s="1"/>
      <c r="H188" s="1"/>
      <c r="I188" s="15" t="s">
        <v>190</v>
      </c>
      <c r="J188" s="92">
        <v>6.7630299999999997</v>
      </c>
      <c r="K188" s="35">
        <v>0</v>
      </c>
    </row>
    <row r="189" spans="1:11" x14ac:dyDescent="0.25">
      <c r="A189" s="11"/>
      <c r="B189" s="1"/>
      <c r="C189" s="1"/>
      <c r="D189" s="92">
        <v>0.19155</v>
      </c>
      <c r="E189" s="15" t="s">
        <v>191</v>
      </c>
      <c r="F189" s="93">
        <f t="shared" si="6"/>
        <v>0.19155</v>
      </c>
      <c r="G189" s="1"/>
      <c r="H189" s="1"/>
      <c r="I189" s="15" t="s">
        <v>191</v>
      </c>
      <c r="J189" s="35">
        <v>0.16206999999999999</v>
      </c>
      <c r="K189" s="35">
        <v>2.9479999999999999E-2</v>
      </c>
    </row>
    <row r="190" spans="1:11" x14ac:dyDescent="0.25">
      <c r="A190" s="11"/>
      <c r="B190" s="1"/>
      <c r="C190" s="1"/>
      <c r="D190" s="92">
        <v>0.47499999999999998</v>
      </c>
      <c r="E190" s="15" t="s">
        <v>192</v>
      </c>
      <c r="F190" s="93">
        <f t="shared" si="6"/>
        <v>0.47499999999999998</v>
      </c>
      <c r="G190" s="1"/>
      <c r="H190" s="1"/>
      <c r="I190" s="15" t="s">
        <v>192</v>
      </c>
      <c r="J190" s="35">
        <v>0.33250000000000002</v>
      </c>
      <c r="K190" s="35">
        <v>0.14249999999999999</v>
      </c>
    </row>
    <row r="191" spans="1:11" x14ac:dyDescent="0.25">
      <c r="A191" s="11"/>
      <c r="B191" s="1"/>
      <c r="C191" s="1"/>
      <c r="D191" s="92">
        <v>0.68240000000000001</v>
      </c>
      <c r="E191" s="15" t="s">
        <v>193</v>
      </c>
      <c r="F191" s="93">
        <v>0.68240000000000001</v>
      </c>
      <c r="G191" s="1"/>
      <c r="H191" s="1"/>
      <c r="I191" s="15" t="s">
        <v>193</v>
      </c>
      <c r="J191" s="28">
        <v>0.68240000000000001</v>
      </c>
      <c r="K191" s="35">
        <v>0</v>
      </c>
    </row>
    <row r="192" spans="1:11" x14ac:dyDescent="0.25">
      <c r="A192" s="11"/>
      <c r="B192" s="1"/>
      <c r="C192" s="1"/>
      <c r="D192" s="92">
        <f>1.27459+0.79662</f>
        <v>2.0712099999999998</v>
      </c>
      <c r="E192" s="15" t="s">
        <v>194</v>
      </c>
      <c r="F192" s="93">
        <f t="shared" ref="F192:F201" si="7">D192</f>
        <v>2.0712099999999998</v>
      </c>
      <c r="G192" s="1"/>
      <c r="H192" s="1"/>
      <c r="I192" s="15" t="s">
        <v>194</v>
      </c>
      <c r="J192" s="35">
        <v>1.4976499999999999</v>
      </c>
      <c r="K192" s="28">
        <v>0.57355999999999996</v>
      </c>
    </row>
    <row r="193" spans="1:11" x14ac:dyDescent="0.25">
      <c r="A193" s="11"/>
      <c r="B193" s="1"/>
      <c r="C193" s="1"/>
      <c r="D193" s="92">
        <v>0.68240000000000001</v>
      </c>
      <c r="E193" s="15" t="s">
        <v>195</v>
      </c>
      <c r="F193" s="93">
        <f t="shared" si="7"/>
        <v>0.68240000000000001</v>
      </c>
      <c r="G193" s="1"/>
      <c r="H193" s="1"/>
      <c r="I193" s="15" t="s">
        <v>195</v>
      </c>
      <c r="J193" s="28">
        <v>0.68240000000000001</v>
      </c>
      <c r="K193" s="35">
        <v>0</v>
      </c>
    </row>
    <row r="194" spans="1:11" x14ac:dyDescent="0.25">
      <c r="A194" s="11"/>
      <c r="B194" s="1"/>
      <c r="C194" s="1"/>
      <c r="D194" s="92">
        <f>1.32134+1.32734</f>
        <v>2.6486799999999997</v>
      </c>
      <c r="E194" s="15" t="s">
        <v>196</v>
      </c>
      <c r="F194" s="93">
        <f t="shared" si="7"/>
        <v>2.6486799999999997</v>
      </c>
      <c r="G194" s="1"/>
      <c r="H194" s="1"/>
      <c r="I194" s="15" t="s">
        <v>196</v>
      </c>
      <c r="J194" s="35">
        <v>0.39639999999999997</v>
      </c>
      <c r="K194" s="35">
        <f>0.92494+1.32734</f>
        <v>2.2522799999999998</v>
      </c>
    </row>
    <row r="195" spans="1:11" ht="30" x14ac:dyDescent="0.25">
      <c r="A195" s="11"/>
      <c r="B195" s="1"/>
      <c r="C195" s="1"/>
      <c r="D195" s="92">
        <v>0.22128</v>
      </c>
      <c r="E195" s="15" t="s">
        <v>198</v>
      </c>
      <c r="F195" s="93">
        <f t="shared" si="7"/>
        <v>0.22128</v>
      </c>
      <c r="G195" s="1"/>
      <c r="H195" s="1"/>
      <c r="I195" s="15" t="s">
        <v>198</v>
      </c>
      <c r="J195" s="92">
        <v>0.22128</v>
      </c>
      <c r="K195" s="35">
        <v>0</v>
      </c>
    </row>
    <row r="196" spans="1:11" x14ac:dyDescent="0.25">
      <c r="A196" s="11"/>
      <c r="B196" s="1"/>
      <c r="C196" s="1"/>
      <c r="D196" s="92">
        <f>0.09054+0.368+0.093+0.44156</f>
        <v>0.99310000000000009</v>
      </c>
      <c r="E196" s="15" t="s">
        <v>101</v>
      </c>
      <c r="F196" s="93">
        <f t="shared" si="7"/>
        <v>0.99310000000000009</v>
      </c>
      <c r="G196" s="1"/>
      <c r="H196" s="1"/>
      <c r="I196" s="15" t="s">
        <v>101</v>
      </c>
      <c r="J196" s="35">
        <v>0.87656000000000001</v>
      </c>
      <c r="K196" s="35">
        <v>0.11654</v>
      </c>
    </row>
    <row r="197" spans="1:11" x14ac:dyDescent="0.25">
      <c r="A197" s="11"/>
      <c r="B197" s="1"/>
      <c r="C197" s="1"/>
      <c r="D197" s="92">
        <f>0.549+1.396</f>
        <v>1.9449999999999998</v>
      </c>
      <c r="E197" s="15" t="s">
        <v>200</v>
      </c>
      <c r="F197" s="93">
        <f t="shared" si="7"/>
        <v>1.9449999999999998</v>
      </c>
      <c r="G197" s="1"/>
      <c r="H197" s="1"/>
      <c r="I197" s="15" t="s">
        <v>199</v>
      </c>
      <c r="J197" s="35">
        <v>1.43546</v>
      </c>
      <c r="K197" s="35">
        <v>0.50953999999999999</v>
      </c>
    </row>
    <row r="198" spans="1:11" x14ac:dyDescent="0.25">
      <c r="A198" s="11"/>
      <c r="B198" s="1"/>
      <c r="C198" s="1"/>
      <c r="D198" s="92">
        <f>0.4171+0.535+0.9416</f>
        <v>1.8936999999999999</v>
      </c>
      <c r="E198" s="15" t="s">
        <v>104</v>
      </c>
      <c r="F198" s="93">
        <f t="shared" si="7"/>
        <v>1.8936999999999999</v>
      </c>
      <c r="G198" s="1"/>
      <c r="H198" s="1"/>
      <c r="I198" s="15" t="s">
        <v>104</v>
      </c>
      <c r="J198" s="28">
        <v>1.3045599999999999</v>
      </c>
      <c r="K198" s="35">
        <v>0.58914</v>
      </c>
    </row>
    <row r="199" spans="1:11" x14ac:dyDescent="0.25">
      <c r="A199" s="11"/>
      <c r="B199" s="1"/>
      <c r="C199" s="1"/>
      <c r="D199" s="92">
        <v>1.7784</v>
      </c>
      <c r="E199" s="15" t="s">
        <v>201</v>
      </c>
      <c r="F199" s="93">
        <f t="shared" si="7"/>
        <v>1.7784</v>
      </c>
      <c r="G199" s="1"/>
      <c r="H199" s="1"/>
      <c r="I199" s="15" t="s">
        <v>201</v>
      </c>
      <c r="J199" s="35">
        <v>1.69746</v>
      </c>
      <c r="K199" s="35">
        <v>8.0939999999999998E-2</v>
      </c>
    </row>
    <row r="200" spans="1:11" x14ac:dyDescent="0.25">
      <c r="A200" s="11"/>
      <c r="B200" s="1"/>
      <c r="C200" s="1"/>
      <c r="D200" s="92">
        <f>0.21507+1.19928</f>
        <v>1.41435</v>
      </c>
      <c r="E200" s="15" t="s">
        <v>202</v>
      </c>
      <c r="F200" s="93">
        <f t="shared" si="7"/>
        <v>1.41435</v>
      </c>
      <c r="G200" s="1"/>
      <c r="H200" s="1"/>
      <c r="I200" s="15" t="s">
        <v>202</v>
      </c>
      <c r="J200" s="92">
        <f>0.21507+1.19928</f>
        <v>1.41435</v>
      </c>
      <c r="K200" s="35">
        <v>0</v>
      </c>
    </row>
    <row r="201" spans="1:11" x14ac:dyDescent="0.25">
      <c r="A201" s="11"/>
      <c r="B201" s="1"/>
      <c r="C201" s="1"/>
      <c r="D201" s="92">
        <v>0.15092</v>
      </c>
      <c r="E201" s="15" t="s">
        <v>203</v>
      </c>
      <c r="F201" s="93">
        <f t="shared" si="7"/>
        <v>0.15092</v>
      </c>
      <c r="G201" s="1"/>
      <c r="H201" s="1"/>
      <c r="I201" s="15" t="s">
        <v>203</v>
      </c>
      <c r="J201" s="28">
        <v>0.15092</v>
      </c>
      <c r="K201" s="35">
        <v>0</v>
      </c>
    </row>
    <row r="202" spans="1:11" x14ac:dyDescent="0.25">
      <c r="A202" s="11"/>
      <c r="B202" s="1"/>
      <c r="C202" s="1"/>
      <c r="D202" s="92"/>
      <c r="E202" s="28"/>
      <c r="F202" s="28"/>
      <c r="G202" s="28"/>
      <c r="H202" s="28"/>
      <c r="I202" s="28"/>
      <c r="J202" s="28"/>
      <c r="K202" s="28"/>
    </row>
    <row r="203" spans="1:11" x14ac:dyDescent="0.25">
      <c r="A203" s="11"/>
      <c r="B203" s="1"/>
      <c r="C203" s="1"/>
      <c r="D203" s="105"/>
      <c r="E203" s="15"/>
      <c r="F203" s="41"/>
      <c r="G203" s="1"/>
      <c r="H203" s="1"/>
      <c r="I203" s="15"/>
      <c r="J203" s="35"/>
      <c r="K203" s="35"/>
    </row>
    <row r="204" spans="1:11" x14ac:dyDescent="0.25">
      <c r="A204" s="262" t="s">
        <v>14</v>
      </c>
      <c r="B204" s="1"/>
      <c r="C204" s="1"/>
      <c r="D204" s="105"/>
      <c r="E204" s="1"/>
      <c r="F204" s="42">
        <v>0</v>
      </c>
      <c r="G204" s="1"/>
      <c r="H204" s="1"/>
      <c r="I204" s="21"/>
      <c r="J204" s="35"/>
      <c r="K204" s="37">
        <v>0</v>
      </c>
    </row>
    <row r="205" spans="1:11" x14ac:dyDescent="0.25">
      <c r="A205" s="263"/>
      <c r="B205" s="1"/>
      <c r="C205" s="1"/>
      <c r="D205" s="105"/>
      <c r="E205" s="1"/>
      <c r="F205" s="41"/>
      <c r="G205" s="1"/>
      <c r="H205" s="1"/>
      <c r="I205" s="21"/>
      <c r="J205" s="35"/>
      <c r="K205" s="35"/>
    </row>
    <row r="206" spans="1:11" x14ac:dyDescent="0.25">
      <c r="A206" s="262" t="s">
        <v>15</v>
      </c>
      <c r="B206" s="1"/>
      <c r="C206" s="1"/>
      <c r="D206" s="105"/>
      <c r="E206" s="1"/>
      <c r="F206" s="42">
        <v>0</v>
      </c>
      <c r="G206" s="1"/>
      <c r="H206" s="1"/>
      <c r="I206" s="21"/>
      <c r="J206" s="35"/>
      <c r="K206" s="37">
        <v>0</v>
      </c>
    </row>
    <row r="207" spans="1:11" x14ac:dyDescent="0.25">
      <c r="A207" s="263"/>
      <c r="B207" s="1"/>
      <c r="C207" s="1"/>
      <c r="D207" s="105"/>
      <c r="E207" s="1"/>
      <c r="F207" s="41"/>
      <c r="G207" s="1"/>
      <c r="H207" s="1"/>
      <c r="I207" s="21"/>
      <c r="J207" s="35"/>
      <c r="K207" s="35"/>
    </row>
    <row r="208" spans="1:11" ht="33" customHeight="1" x14ac:dyDescent="0.25">
      <c r="A208" s="4" t="s">
        <v>16</v>
      </c>
      <c r="B208" s="1"/>
      <c r="C208" s="62">
        <v>14.691000000000001</v>
      </c>
      <c r="D208" s="106">
        <f>SUM(D13:D113)+SUM(D115:D201)</f>
        <v>430.33118000000013</v>
      </c>
      <c r="E208" s="6" t="s">
        <v>17</v>
      </c>
      <c r="F208" s="42">
        <f>C208+D208</f>
        <v>445.02218000000011</v>
      </c>
      <c r="G208" s="6" t="s">
        <v>17</v>
      </c>
      <c r="H208" s="5">
        <v>0</v>
      </c>
      <c r="I208" s="22" t="s">
        <v>17</v>
      </c>
      <c r="J208" s="36">
        <f>SUM(J13:J113)+SUM(J115:J201)</f>
        <v>364.26887999999997</v>
      </c>
      <c r="K208" s="36">
        <f>SUM(K13:K113)+K114+SUM(K115:K201)</f>
        <v>80.753309999999999</v>
      </c>
    </row>
    <row r="209" spans="1:11" ht="21.75" customHeight="1" x14ac:dyDescent="0.25">
      <c r="A209" s="70"/>
      <c r="B209" s="64"/>
      <c r="C209" s="71"/>
      <c r="D209" s="107"/>
      <c r="E209" s="73"/>
      <c r="F209" s="74"/>
      <c r="G209" s="73"/>
      <c r="H209" s="75"/>
      <c r="I209" s="76"/>
      <c r="J209" s="77"/>
      <c r="K209" s="77"/>
    </row>
    <row r="210" spans="1:11" x14ac:dyDescent="0.25">
      <c r="F210" s="78"/>
      <c r="G210" s="79"/>
    </row>
    <row r="211" spans="1:11" x14ac:dyDescent="0.25">
      <c r="B211" s="63" t="s">
        <v>130</v>
      </c>
      <c r="C211" s="65"/>
      <c r="D211" s="108"/>
      <c r="E211" s="65"/>
      <c r="F211" s="265" t="s">
        <v>133</v>
      </c>
      <c r="G211" s="265"/>
      <c r="H211" s="8"/>
      <c r="I211" s="17"/>
    </row>
    <row r="212" spans="1:11" x14ac:dyDescent="0.25">
      <c r="B212" s="63"/>
      <c r="C212" s="67"/>
      <c r="D212" s="109"/>
      <c r="E212" s="67"/>
      <c r="F212" s="83"/>
      <c r="G212" s="81"/>
      <c r="H212" s="8"/>
      <c r="I212" s="17"/>
    </row>
    <row r="213" spans="1:11" x14ac:dyDescent="0.25">
      <c r="B213" s="63"/>
      <c r="C213" s="8"/>
      <c r="D213" s="110"/>
      <c r="E213" s="8"/>
      <c r="F213" s="83"/>
      <c r="G213" s="81"/>
      <c r="H213" s="8"/>
      <c r="I213" s="17"/>
    </row>
    <row r="214" spans="1:11" x14ac:dyDescent="0.25">
      <c r="B214" s="63" t="s">
        <v>132</v>
      </c>
      <c r="C214" s="65"/>
      <c r="D214" s="108"/>
      <c r="E214" s="65"/>
      <c r="F214" s="265" t="s">
        <v>134</v>
      </c>
      <c r="G214" s="265"/>
      <c r="H214" s="8"/>
      <c r="I214" s="17"/>
    </row>
    <row r="215" spans="1:11" x14ac:dyDescent="0.25">
      <c r="B215" s="63"/>
      <c r="C215" s="67"/>
      <c r="D215" s="109"/>
      <c r="E215" s="67"/>
      <c r="F215" s="83"/>
      <c r="G215" s="81"/>
      <c r="H215" s="8"/>
      <c r="I215" s="17"/>
    </row>
    <row r="216" spans="1:11" s="31" customFormat="1" x14ac:dyDescent="0.25">
      <c r="A216"/>
      <c r="B216" s="63"/>
      <c r="C216" s="8"/>
      <c r="D216" s="110"/>
      <c r="E216" s="8"/>
      <c r="F216" s="83"/>
      <c r="G216" s="81"/>
      <c r="H216" s="8"/>
      <c r="I216" s="17"/>
    </row>
    <row r="217" spans="1:11" s="31" customFormat="1" x14ac:dyDescent="0.25">
      <c r="A217"/>
      <c r="B217" s="63" t="s">
        <v>131</v>
      </c>
      <c r="C217" s="65"/>
      <c r="D217" s="108"/>
      <c r="E217" s="65"/>
      <c r="F217" s="265" t="s">
        <v>135</v>
      </c>
      <c r="G217" s="265"/>
      <c r="H217" s="8"/>
      <c r="I217" s="17"/>
    </row>
  </sheetData>
  <mergeCells count="17">
    <mergeCell ref="F214:G214"/>
    <mergeCell ref="F217:G217"/>
    <mergeCell ref="K11:K12"/>
    <mergeCell ref="A115:A165"/>
    <mergeCell ref="A204:A205"/>
    <mergeCell ref="A206:A207"/>
    <mergeCell ref="F211:G211"/>
    <mergeCell ref="A13:A114"/>
    <mergeCell ref="D5:H5"/>
    <mergeCell ref="B6:J6"/>
    <mergeCell ref="B7:J7"/>
    <mergeCell ref="C8:I8"/>
    <mergeCell ref="A11:A12"/>
    <mergeCell ref="B11:B12"/>
    <mergeCell ref="C11:E11"/>
    <mergeCell ref="F11:F12"/>
    <mergeCell ref="G11:J11"/>
  </mergeCells>
  <pageMargins left="0.31496062992125984" right="0.11811023622047245" top="0.15748031496062992" bottom="0.15748031496062992" header="0" footer="0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1"/>
  <sheetViews>
    <sheetView topLeftCell="A343" zoomScaleNormal="100" workbookViewId="0">
      <selection activeCell="K352" sqref="K352"/>
    </sheetView>
  </sheetViews>
  <sheetFormatPr defaultRowHeight="15" x14ac:dyDescent="0.25"/>
  <cols>
    <col min="1" max="1" width="9.42578125" customWidth="1"/>
    <col min="2" max="2" width="19.85546875" customWidth="1"/>
    <col min="3" max="3" width="9.42578125" customWidth="1"/>
    <col min="4" max="4" width="10.85546875" style="95" customWidth="1"/>
    <col min="5" max="5" width="24.7109375" customWidth="1"/>
    <col min="6" max="6" width="11.7109375" style="38" customWidth="1"/>
    <col min="7" max="7" width="14" customWidth="1"/>
    <col min="8" max="8" width="10" customWidth="1"/>
    <col min="9" max="9" width="26.140625" style="117" customWidth="1"/>
    <col min="10" max="10" width="9.42578125" style="113" customWidth="1"/>
    <col min="11" max="11" width="17.28515625" style="113" customWidth="1"/>
  </cols>
  <sheetData>
    <row r="1" spans="1:11" x14ac:dyDescent="0.25">
      <c r="I1" s="112" t="s">
        <v>19</v>
      </c>
    </row>
    <row r="2" spans="1:11" x14ac:dyDescent="0.25">
      <c r="I2" s="112" t="s">
        <v>20</v>
      </c>
    </row>
    <row r="3" spans="1:11" x14ac:dyDescent="0.25">
      <c r="I3" s="112" t="s">
        <v>21</v>
      </c>
    </row>
    <row r="5" spans="1:11" ht="18.75" x14ac:dyDescent="0.3">
      <c r="B5" s="10"/>
      <c r="C5" s="10"/>
      <c r="D5" s="257" t="s">
        <v>18</v>
      </c>
      <c r="E5" s="257"/>
      <c r="F5" s="257"/>
      <c r="G5" s="257"/>
      <c r="H5" s="257"/>
      <c r="I5" s="114"/>
      <c r="J5" s="115"/>
    </row>
    <row r="6" spans="1:11" ht="18.75" x14ac:dyDescent="0.3">
      <c r="B6" s="258" t="s">
        <v>49</v>
      </c>
      <c r="C6" s="258"/>
      <c r="D6" s="258"/>
      <c r="E6" s="258"/>
      <c r="F6" s="258"/>
      <c r="G6" s="258"/>
      <c r="H6" s="258"/>
      <c r="I6" s="258"/>
      <c r="J6" s="258"/>
    </row>
    <row r="7" spans="1:11" ht="18.75" x14ac:dyDescent="0.3">
      <c r="B7" s="259" t="s">
        <v>137</v>
      </c>
      <c r="C7" s="259"/>
      <c r="D7" s="259"/>
      <c r="E7" s="259"/>
      <c r="F7" s="259"/>
      <c r="G7" s="259"/>
      <c r="H7" s="259"/>
      <c r="I7" s="259"/>
      <c r="J7" s="259"/>
    </row>
    <row r="8" spans="1:11" x14ac:dyDescent="0.25">
      <c r="B8" s="9"/>
      <c r="C8" s="260" t="s">
        <v>50</v>
      </c>
      <c r="D8" s="260"/>
      <c r="E8" s="260"/>
      <c r="F8" s="261"/>
      <c r="G8" s="261"/>
      <c r="H8" s="261"/>
      <c r="I8" s="261"/>
      <c r="J8" s="116"/>
    </row>
    <row r="9" spans="1:11" x14ac:dyDescent="0.25">
      <c r="D9" s="96"/>
      <c r="E9" s="7"/>
      <c r="F9" s="39"/>
      <c r="G9" s="7"/>
      <c r="H9" s="7"/>
    </row>
    <row r="11" spans="1:11" ht="56.25" customHeight="1" x14ac:dyDescent="0.25">
      <c r="A11" s="264" t="s">
        <v>0</v>
      </c>
      <c r="B11" s="264" t="s">
        <v>1</v>
      </c>
      <c r="C11" s="256" t="s">
        <v>2</v>
      </c>
      <c r="D11" s="256"/>
      <c r="E11" s="256"/>
      <c r="F11" s="254" t="s">
        <v>6</v>
      </c>
      <c r="G11" s="255" t="s">
        <v>7</v>
      </c>
      <c r="H11" s="255"/>
      <c r="I11" s="255"/>
      <c r="J11" s="255"/>
      <c r="K11" s="269" t="s">
        <v>11</v>
      </c>
    </row>
    <row r="12" spans="1:11" ht="90.75" customHeight="1" x14ac:dyDescent="0.25">
      <c r="A12" s="264"/>
      <c r="B12" s="264"/>
      <c r="C12" s="87" t="s">
        <v>3</v>
      </c>
      <c r="D12" s="97" t="s">
        <v>4</v>
      </c>
      <c r="E12" s="12" t="s">
        <v>5</v>
      </c>
      <c r="F12" s="254"/>
      <c r="G12" s="89" t="s">
        <v>8</v>
      </c>
      <c r="H12" s="87" t="s">
        <v>9</v>
      </c>
      <c r="I12" s="118" t="s">
        <v>10</v>
      </c>
      <c r="J12" s="98" t="s">
        <v>9</v>
      </c>
      <c r="K12" s="269"/>
    </row>
    <row r="13" spans="1:11" ht="51" customHeight="1" x14ac:dyDescent="0.3">
      <c r="A13" s="262" t="s">
        <v>13</v>
      </c>
      <c r="B13" s="52" t="s">
        <v>22</v>
      </c>
      <c r="C13" s="44"/>
      <c r="D13" s="98">
        <v>10.39</v>
      </c>
      <c r="E13" s="13" t="s">
        <v>23</v>
      </c>
      <c r="F13" s="40">
        <f>D13</f>
        <v>10.39</v>
      </c>
      <c r="G13" s="45"/>
      <c r="H13" s="45"/>
      <c r="I13" s="119" t="s">
        <v>23</v>
      </c>
      <c r="J13" s="98">
        <v>10.39</v>
      </c>
      <c r="K13" s="120">
        <v>0</v>
      </c>
    </row>
    <row r="14" spans="1:11" x14ac:dyDescent="0.25">
      <c r="A14" s="266"/>
      <c r="B14" s="45"/>
      <c r="C14" s="44"/>
      <c r="D14" s="98">
        <f>0.14+0.14</f>
        <v>0.28000000000000003</v>
      </c>
      <c r="E14" s="13" t="s">
        <v>24</v>
      </c>
      <c r="F14" s="40">
        <f t="shared" ref="F14:F77" si="0">D14</f>
        <v>0.28000000000000003</v>
      </c>
      <c r="G14" s="45"/>
      <c r="H14" s="45"/>
      <c r="I14" s="119" t="s">
        <v>24</v>
      </c>
      <c r="J14" s="101">
        <f>0.14+0.14</f>
        <v>0.28000000000000003</v>
      </c>
      <c r="K14" s="101">
        <v>0</v>
      </c>
    </row>
    <row r="15" spans="1:11" ht="51" customHeight="1" x14ac:dyDescent="0.25">
      <c r="A15" s="267"/>
      <c r="B15" s="45"/>
      <c r="C15" s="44"/>
      <c r="D15" s="98">
        <v>4.3499999999999996</v>
      </c>
      <c r="E15" s="13" t="s">
        <v>117</v>
      </c>
      <c r="F15" s="40">
        <f t="shared" si="0"/>
        <v>4.3499999999999996</v>
      </c>
      <c r="G15" s="45"/>
      <c r="H15" s="45"/>
      <c r="I15" s="119" t="s">
        <v>117</v>
      </c>
      <c r="J15" s="98">
        <v>4.3499999999999996</v>
      </c>
      <c r="K15" s="101">
        <v>0</v>
      </c>
    </row>
    <row r="16" spans="1:11" x14ac:dyDescent="0.25">
      <c r="A16" s="267"/>
      <c r="B16" s="45"/>
      <c r="C16" s="44"/>
      <c r="D16" s="98">
        <v>4.1539999999999999</v>
      </c>
      <c r="E16" s="13" t="s">
        <v>25</v>
      </c>
      <c r="F16" s="40">
        <f t="shared" si="0"/>
        <v>4.1539999999999999</v>
      </c>
      <c r="G16" s="45"/>
      <c r="H16" s="45"/>
      <c r="I16" s="119" t="s">
        <v>25</v>
      </c>
      <c r="J16" s="98">
        <v>4.1539999999999999</v>
      </c>
      <c r="K16" s="101">
        <v>0</v>
      </c>
    </row>
    <row r="17" spans="1:11" ht="30" customHeight="1" x14ac:dyDescent="0.25">
      <c r="A17" s="267"/>
      <c r="B17" s="45"/>
      <c r="C17" s="44"/>
      <c r="D17" s="98">
        <v>10.898999999999999</v>
      </c>
      <c r="E17" s="13" t="s">
        <v>26</v>
      </c>
      <c r="F17" s="40">
        <f t="shared" si="0"/>
        <v>10.898999999999999</v>
      </c>
      <c r="G17" s="45"/>
      <c r="H17" s="45"/>
      <c r="I17" s="119" t="s">
        <v>26</v>
      </c>
      <c r="J17" s="98">
        <v>10.898999999999999</v>
      </c>
      <c r="K17" s="101">
        <v>0</v>
      </c>
    </row>
    <row r="18" spans="1:11" ht="32.25" customHeight="1" x14ac:dyDescent="0.25">
      <c r="A18" s="267"/>
      <c r="B18" s="45"/>
      <c r="C18" s="44"/>
      <c r="D18" s="98">
        <v>0.3</v>
      </c>
      <c r="E18" s="13" t="s">
        <v>115</v>
      </c>
      <c r="F18" s="40">
        <f t="shared" si="0"/>
        <v>0.3</v>
      </c>
      <c r="G18" s="45"/>
      <c r="H18" s="45"/>
      <c r="I18" s="119" t="s">
        <v>116</v>
      </c>
      <c r="J18" s="98">
        <v>0.3</v>
      </c>
      <c r="K18" s="101">
        <v>0</v>
      </c>
    </row>
    <row r="19" spans="1:11" ht="31.5" customHeight="1" x14ac:dyDescent="0.25">
      <c r="A19" s="267"/>
      <c r="B19" s="45"/>
      <c r="C19" s="44"/>
      <c r="D19" s="99">
        <v>0.27</v>
      </c>
      <c r="E19" s="14" t="s">
        <v>27</v>
      </c>
      <c r="F19" s="40">
        <f t="shared" si="0"/>
        <v>0.27</v>
      </c>
      <c r="G19" s="45"/>
      <c r="H19" s="45"/>
      <c r="I19" s="121" t="s">
        <v>27</v>
      </c>
      <c r="J19" s="99">
        <v>0.27</v>
      </c>
      <c r="K19" s="101">
        <v>0</v>
      </c>
    </row>
    <row r="20" spans="1:11" x14ac:dyDescent="0.25">
      <c r="A20" s="267"/>
      <c r="B20" s="45"/>
      <c r="C20" s="44"/>
      <c r="D20" s="98">
        <v>0.63</v>
      </c>
      <c r="E20" s="13" t="s">
        <v>113</v>
      </c>
      <c r="F20" s="40">
        <f t="shared" si="0"/>
        <v>0.63</v>
      </c>
      <c r="G20" s="45"/>
      <c r="H20" s="45"/>
      <c r="I20" s="119" t="s">
        <v>113</v>
      </c>
      <c r="J20" s="98">
        <v>0.63</v>
      </c>
      <c r="K20" s="101">
        <v>0</v>
      </c>
    </row>
    <row r="21" spans="1:11" ht="30" x14ac:dyDescent="0.25">
      <c r="A21" s="267"/>
      <c r="B21" s="45"/>
      <c r="C21" s="44"/>
      <c r="D21" s="98">
        <v>1.1399999999999999</v>
      </c>
      <c r="E21" s="13" t="s">
        <v>28</v>
      </c>
      <c r="F21" s="40">
        <f t="shared" si="0"/>
        <v>1.1399999999999999</v>
      </c>
      <c r="G21" s="45"/>
      <c r="H21" s="45"/>
      <c r="I21" s="119" t="s">
        <v>28</v>
      </c>
      <c r="J21" s="98">
        <v>1.1399999999999999</v>
      </c>
      <c r="K21" s="101">
        <v>0</v>
      </c>
    </row>
    <row r="22" spans="1:11" x14ac:dyDescent="0.25">
      <c r="A22" s="267"/>
      <c r="B22" s="45"/>
      <c r="C22" s="44"/>
      <c r="D22" s="98">
        <v>1.165</v>
      </c>
      <c r="E22" s="13" t="s">
        <v>29</v>
      </c>
      <c r="F22" s="40">
        <f t="shared" si="0"/>
        <v>1.165</v>
      </c>
      <c r="G22" s="45"/>
      <c r="H22" s="45"/>
      <c r="I22" s="119" t="s">
        <v>29</v>
      </c>
      <c r="J22" s="98">
        <v>1.165</v>
      </c>
      <c r="K22" s="101">
        <v>0</v>
      </c>
    </row>
    <row r="23" spans="1:11" x14ac:dyDescent="0.25">
      <c r="A23" s="267"/>
      <c r="B23" s="45"/>
      <c r="C23" s="44"/>
      <c r="D23" s="98">
        <v>2.4540000000000002</v>
      </c>
      <c r="E23" s="13" t="s">
        <v>30</v>
      </c>
      <c r="F23" s="40">
        <f t="shared" si="0"/>
        <v>2.4540000000000002</v>
      </c>
      <c r="G23" s="45"/>
      <c r="H23" s="45"/>
      <c r="I23" s="119" t="s">
        <v>30</v>
      </c>
      <c r="J23" s="98">
        <v>2.4540000000000002</v>
      </c>
      <c r="K23" s="101">
        <v>0</v>
      </c>
    </row>
    <row r="24" spans="1:11" x14ac:dyDescent="0.25">
      <c r="A24" s="267"/>
      <c r="B24" s="45"/>
      <c r="C24" s="45"/>
      <c r="D24" s="100">
        <v>0.19</v>
      </c>
      <c r="E24" s="48" t="s">
        <v>31</v>
      </c>
      <c r="F24" s="40">
        <f t="shared" si="0"/>
        <v>0.19</v>
      </c>
      <c r="G24" s="45"/>
      <c r="H24" s="45"/>
      <c r="I24" s="122" t="s">
        <v>31</v>
      </c>
      <c r="J24" s="100">
        <v>0.19</v>
      </c>
      <c r="K24" s="101">
        <v>0</v>
      </c>
    </row>
    <row r="25" spans="1:11" x14ac:dyDescent="0.25">
      <c r="A25" s="267"/>
      <c r="B25" s="45"/>
      <c r="C25" s="45"/>
      <c r="D25" s="101">
        <v>0.19</v>
      </c>
      <c r="E25" s="45" t="s">
        <v>32</v>
      </c>
      <c r="F25" s="40">
        <f t="shared" si="0"/>
        <v>0.19</v>
      </c>
      <c r="G25" s="45"/>
      <c r="H25" s="45"/>
      <c r="I25" s="123" t="s">
        <v>32</v>
      </c>
      <c r="J25" s="101">
        <v>0.19</v>
      </c>
      <c r="K25" s="101">
        <v>0</v>
      </c>
    </row>
    <row r="26" spans="1:11" ht="36" customHeight="1" x14ac:dyDescent="0.3">
      <c r="A26" s="267"/>
      <c r="B26" s="52" t="s">
        <v>33</v>
      </c>
      <c r="C26" s="45"/>
      <c r="D26" s="101">
        <v>2.2000000000000002</v>
      </c>
      <c r="E26" s="53" t="s">
        <v>34</v>
      </c>
      <c r="F26" s="40">
        <f t="shared" si="0"/>
        <v>2.2000000000000002</v>
      </c>
      <c r="G26" s="45"/>
      <c r="H26" s="53"/>
      <c r="I26" s="124" t="s">
        <v>34</v>
      </c>
      <c r="J26" s="101">
        <v>2.2000000000000002</v>
      </c>
      <c r="K26" s="101">
        <v>0</v>
      </c>
    </row>
    <row r="27" spans="1:11" ht="29.25" customHeight="1" x14ac:dyDescent="0.25">
      <c r="A27" s="267"/>
      <c r="B27" s="45"/>
      <c r="C27" s="45"/>
      <c r="D27" s="101">
        <v>2</v>
      </c>
      <c r="E27" s="53" t="s">
        <v>34</v>
      </c>
      <c r="F27" s="40">
        <f t="shared" si="0"/>
        <v>2</v>
      </c>
      <c r="G27" s="45"/>
      <c r="H27" s="45"/>
      <c r="I27" s="124" t="s">
        <v>34</v>
      </c>
      <c r="J27" s="101">
        <v>2</v>
      </c>
      <c r="K27" s="101">
        <v>0</v>
      </c>
    </row>
    <row r="28" spans="1:11" ht="46.5" customHeight="1" x14ac:dyDescent="0.25">
      <c r="A28" s="267"/>
      <c r="B28" s="45"/>
      <c r="C28" s="45"/>
      <c r="D28" s="101">
        <v>0.69499999999999995</v>
      </c>
      <c r="E28" s="55" t="s">
        <v>118</v>
      </c>
      <c r="F28" s="40">
        <f t="shared" si="0"/>
        <v>0.69499999999999995</v>
      </c>
      <c r="G28" s="45"/>
      <c r="H28" s="45"/>
      <c r="I28" s="125" t="s">
        <v>118</v>
      </c>
      <c r="J28" s="101">
        <v>0.69499999999999995</v>
      </c>
      <c r="K28" s="101">
        <v>0</v>
      </c>
    </row>
    <row r="29" spans="1:11" ht="30.75" customHeight="1" x14ac:dyDescent="0.25">
      <c r="A29" s="267"/>
      <c r="B29" s="45"/>
      <c r="C29" s="45"/>
      <c r="D29" s="101">
        <f>0.3+0.3</f>
        <v>0.6</v>
      </c>
      <c r="E29" s="55" t="s">
        <v>119</v>
      </c>
      <c r="F29" s="40">
        <f t="shared" si="0"/>
        <v>0.6</v>
      </c>
      <c r="G29" s="45"/>
      <c r="H29" s="45"/>
      <c r="I29" s="125" t="s">
        <v>35</v>
      </c>
      <c r="J29" s="101">
        <f>0.3+0.3</f>
        <v>0.6</v>
      </c>
      <c r="K29" s="101">
        <v>0</v>
      </c>
    </row>
    <row r="30" spans="1:11" x14ac:dyDescent="0.25">
      <c r="A30" s="267"/>
      <c r="B30" s="45"/>
      <c r="C30" s="45"/>
      <c r="D30" s="101">
        <f>0.14+0.14</f>
        <v>0.28000000000000003</v>
      </c>
      <c r="E30" s="45" t="s">
        <v>24</v>
      </c>
      <c r="F30" s="40">
        <f t="shared" si="0"/>
        <v>0.28000000000000003</v>
      </c>
      <c r="G30" s="45"/>
      <c r="H30" s="45"/>
      <c r="I30" s="123" t="s">
        <v>24</v>
      </c>
      <c r="J30" s="101">
        <f>0.14+0.14</f>
        <v>0.28000000000000003</v>
      </c>
      <c r="K30" s="101">
        <v>0</v>
      </c>
    </row>
    <row r="31" spans="1:11" x14ac:dyDescent="0.25">
      <c r="A31" s="267"/>
      <c r="B31" s="45"/>
      <c r="C31" s="45"/>
      <c r="D31" s="101">
        <f>1.462</f>
        <v>1.462</v>
      </c>
      <c r="E31" s="45" t="s">
        <v>36</v>
      </c>
      <c r="F31" s="40">
        <f t="shared" si="0"/>
        <v>1.462</v>
      </c>
      <c r="G31" s="45"/>
      <c r="H31" s="45"/>
      <c r="I31" s="123" t="s">
        <v>36</v>
      </c>
      <c r="J31" s="101">
        <f>1.462</f>
        <v>1.462</v>
      </c>
      <c r="K31" s="101">
        <v>0</v>
      </c>
    </row>
    <row r="32" spans="1:11" ht="15.75" customHeight="1" x14ac:dyDescent="0.25">
      <c r="A32" s="267"/>
      <c r="B32" s="45"/>
      <c r="C32" s="45"/>
      <c r="D32" s="101">
        <f>4.154*2</f>
        <v>8.3079999999999998</v>
      </c>
      <c r="E32" s="55" t="s">
        <v>37</v>
      </c>
      <c r="F32" s="40">
        <f t="shared" si="0"/>
        <v>8.3079999999999998</v>
      </c>
      <c r="G32" s="45"/>
      <c r="H32" s="45"/>
      <c r="I32" s="125" t="s">
        <v>37</v>
      </c>
      <c r="J32" s="101">
        <f>4.154*2</f>
        <v>8.3079999999999998</v>
      </c>
      <c r="K32" s="101">
        <v>0</v>
      </c>
    </row>
    <row r="33" spans="1:11" ht="55.5" customHeight="1" x14ac:dyDescent="0.25">
      <c r="A33" s="267"/>
      <c r="B33" s="45"/>
      <c r="C33" s="45"/>
      <c r="D33" s="101">
        <f>20.78</f>
        <v>20.78</v>
      </c>
      <c r="E33" s="13" t="s">
        <v>23</v>
      </c>
      <c r="F33" s="40">
        <f t="shared" si="0"/>
        <v>20.78</v>
      </c>
      <c r="G33" s="45"/>
      <c r="H33" s="45"/>
      <c r="I33" s="119" t="s">
        <v>23</v>
      </c>
      <c r="J33" s="101">
        <f>20.78</f>
        <v>20.78</v>
      </c>
      <c r="K33" s="101">
        <v>0</v>
      </c>
    </row>
    <row r="34" spans="1:11" ht="32.25" customHeight="1" x14ac:dyDescent="0.25">
      <c r="A34" s="267"/>
      <c r="B34" s="45"/>
      <c r="C34" s="45"/>
      <c r="D34" s="101">
        <v>0.6</v>
      </c>
      <c r="E34" s="13" t="s">
        <v>38</v>
      </c>
      <c r="F34" s="40">
        <f t="shared" si="0"/>
        <v>0.6</v>
      </c>
      <c r="G34" s="45"/>
      <c r="H34" s="45"/>
      <c r="I34" s="119" t="s">
        <v>38</v>
      </c>
      <c r="J34" s="101">
        <v>0.6</v>
      </c>
      <c r="K34" s="101">
        <v>0</v>
      </c>
    </row>
    <row r="35" spans="1:11" ht="13.5" customHeight="1" x14ac:dyDescent="0.25">
      <c r="A35" s="267"/>
      <c r="B35" s="45"/>
      <c r="C35" s="45"/>
      <c r="D35" s="101">
        <v>0.25</v>
      </c>
      <c r="E35" s="13" t="s">
        <v>39</v>
      </c>
      <c r="F35" s="40">
        <f t="shared" si="0"/>
        <v>0.25</v>
      </c>
      <c r="G35" s="45"/>
      <c r="H35" s="45"/>
      <c r="I35" s="119" t="s">
        <v>39</v>
      </c>
      <c r="J35" s="101">
        <v>0.25</v>
      </c>
      <c r="K35" s="101">
        <v>0</v>
      </c>
    </row>
    <row r="36" spans="1:11" ht="35.25" customHeight="1" x14ac:dyDescent="0.25">
      <c r="A36" s="267"/>
      <c r="B36" s="45"/>
      <c r="C36" s="45"/>
      <c r="D36" s="101">
        <f>0.285+0.27</f>
        <v>0.55499999999999994</v>
      </c>
      <c r="E36" s="13" t="s">
        <v>40</v>
      </c>
      <c r="F36" s="40">
        <f t="shared" si="0"/>
        <v>0.55499999999999994</v>
      </c>
      <c r="G36" s="45"/>
      <c r="H36" s="45"/>
      <c r="I36" s="119" t="s">
        <v>40</v>
      </c>
      <c r="J36" s="101">
        <f>0.285+0.27</f>
        <v>0.55499999999999994</v>
      </c>
      <c r="K36" s="101">
        <v>0</v>
      </c>
    </row>
    <row r="37" spans="1:11" ht="35.25" customHeight="1" x14ac:dyDescent="0.25">
      <c r="A37" s="267"/>
      <c r="B37" s="45"/>
      <c r="C37" s="45"/>
      <c r="D37" s="101">
        <f>0.27+0.285</f>
        <v>0.55499999999999994</v>
      </c>
      <c r="E37" s="14" t="s">
        <v>27</v>
      </c>
      <c r="F37" s="40">
        <f t="shared" si="0"/>
        <v>0.55499999999999994</v>
      </c>
      <c r="G37" s="45"/>
      <c r="H37" s="45"/>
      <c r="I37" s="121" t="s">
        <v>27</v>
      </c>
      <c r="J37" s="101">
        <f>0.27+0.285</f>
        <v>0.55499999999999994</v>
      </c>
      <c r="K37" s="101">
        <v>0</v>
      </c>
    </row>
    <row r="38" spans="1:11" x14ac:dyDescent="0.25">
      <c r="A38" s="267"/>
      <c r="B38" s="45"/>
      <c r="C38" s="45"/>
      <c r="D38" s="101">
        <v>1.1359999999999999</v>
      </c>
      <c r="E38" s="13" t="s">
        <v>41</v>
      </c>
      <c r="F38" s="40">
        <f t="shared" si="0"/>
        <v>1.1359999999999999</v>
      </c>
      <c r="G38" s="45"/>
      <c r="H38" s="45"/>
      <c r="I38" s="119" t="s">
        <v>41</v>
      </c>
      <c r="J38" s="101">
        <v>1.1359999999999999</v>
      </c>
      <c r="K38" s="101">
        <v>0</v>
      </c>
    </row>
    <row r="39" spans="1:11" ht="33" customHeight="1" x14ac:dyDescent="0.25">
      <c r="A39" s="267"/>
      <c r="B39" s="45"/>
      <c r="C39" s="45"/>
      <c r="D39" s="101">
        <v>1.28</v>
      </c>
      <c r="E39" s="13" t="s">
        <v>42</v>
      </c>
      <c r="F39" s="40">
        <f t="shared" si="0"/>
        <v>1.28</v>
      </c>
      <c r="G39" s="45"/>
      <c r="H39" s="45"/>
      <c r="I39" s="119" t="s">
        <v>42</v>
      </c>
      <c r="J39" s="101">
        <v>1.28</v>
      </c>
      <c r="K39" s="101">
        <v>0</v>
      </c>
    </row>
    <row r="40" spans="1:11" ht="31.5" customHeight="1" x14ac:dyDescent="0.25">
      <c r="A40" s="267"/>
      <c r="B40" s="45"/>
      <c r="C40" s="45"/>
      <c r="D40" s="101">
        <v>1.1399999999999999</v>
      </c>
      <c r="E40" s="13" t="s">
        <v>28</v>
      </c>
      <c r="F40" s="40">
        <f t="shared" si="0"/>
        <v>1.1399999999999999</v>
      </c>
      <c r="G40" s="45"/>
      <c r="H40" s="45"/>
      <c r="I40" s="119" t="s">
        <v>28</v>
      </c>
      <c r="J40" s="101">
        <v>1.1399999999999999</v>
      </c>
      <c r="K40" s="101">
        <v>0</v>
      </c>
    </row>
    <row r="41" spans="1:11" ht="21" customHeight="1" x14ac:dyDescent="0.25">
      <c r="A41" s="267"/>
      <c r="B41" s="45"/>
      <c r="C41" s="45"/>
      <c r="D41" s="101">
        <v>2.75</v>
      </c>
      <c r="E41" s="13" t="s">
        <v>43</v>
      </c>
      <c r="F41" s="40">
        <f t="shared" si="0"/>
        <v>2.75</v>
      </c>
      <c r="G41" s="45"/>
      <c r="H41" s="45"/>
      <c r="I41" s="119" t="s">
        <v>43</v>
      </c>
      <c r="J41" s="101">
        <v>2.75</v>
      </c>
      <c r="K41" s="101">
        <v>0</v>
      </c>
    </row>
    <row r="42" spans="1:11" ht="29.25" customHeight="1" x14ac:dyDescent="0.25">
      <c r="A42" s="267"/>
      <c r="B42" s="45"/>
      <c r="C42" s="45"/>
      <c r="D42" s="101">
        <v>2.33</v>
      </c>
      <c r="E42" s="55" t="s">
        <v>44</v>
      </c>
      <c r="F42" s="40">
        <f t="shared" si="0"/>
        <v>2.33</v>
      </c>
      <c r="G42" s="45"/>
      <c r="H42" s="45"/>
      <c r="I42" s="125" t="s">
        <v>44</v>
      </c>
      <c r="J42" s="101">
        <v>2.33</v>
      </c>
      <c r="K42" s="101">
        <v>0</v>
      </c>
    </row>
    <row r="43" spans="1:11" ht="54" customHeight="1" x14ac:dyDescent="0.3">
      <c r="A43" s="267"/>
      <c r="B43" s="52" t="s">
        <v>45</v>
      </c>
      <c r="C43" s="45"/>
      <c r="D43" s="102">
        <v>26.299499999999998</v>
      </c>
      <c r="E43" s="55" t="s">
        <v>46</v>
      </c>
      <c r="F43" s="43">
        <f t="shared" si="0"/>
        <v>26.299499999999998</v>
      </c>
      <c r="G43" s="45"/>
      <c r="H43" s="45"/>
      <c r="I43" s="125" t="s">
        <v>46</v>
      </c>
      <c r="J43" s="102">
        <v>26.299499999999998</v>
      </c>
      <c r="K43" s="126">
        <v>0</v>
      </c>
    </row>
    <row r="44" spans="1:11" ht="75" x14ac:dyDescent="0.3">
      <c r="A44" s="267"/>
      <c r="B44" s="52" t="s">
        <v>47</v>
      </c>
      <c r="C44" s="45"/>
      <c r="D44" s="101">
        <f>3.00392+2.83785+2.88258</f>
        <v>8.7243500000000012</v>
      </c>
      <c r="E44" s="55" t="s">
        <v>51</v>
      </c>
      <c r="F44" s="40">
        <f t="shared" si="0"/>
        <v>8.7243500000000012</v>
      </c>
      <c r="G44" s="45"/>
      <c r="H44" s="58"/>
      <c r="I44" s="125" t="s">
        <v>51</v>
      </c>
      <c r="J44" s="101">
        <f>3.00392+2.59432</f>
        <v>5.5982400000000005</v>
      </c>
      <c r="K44" s="101">
        <f>2.83785+0.28826</f>
        <v>3.1261100000000002</v>
      </c>
    </row>
    <row r="45" spans="1:11" x14ac:dyDescent="0.25">
      <c r="A45" s="267"/>
      <c r="B45" s="55"/>
      <c r="C45" s="45"/>
      <c r="D45" s="101">
        <v>2.4099999999999998E-3</v>
      </c>
      <c r="E45" s="55" t="s">
        <v>52</v>
      </c>
      <c r="F45" s="40">
        <f t="shared" si="0"/>
        <v>2.4099999999999998E-3</v>
      </c>
      <c r="G45" s="45"/>
      <c r="H45" s="58"/>
      <c r="I45" s="125" t="s">
        <v>52</v>
      </c>
      <c r="J45" s="101">
        <v>0</v>
      </c>
      <c r="K45" s="101">
        <v>2.4099999999999998E-3</v>
      </c>
    </row>
    <row r="46" spans="1:11" x14ac:dyDescent="0.25">
      <c r="A46" s="267"/>
      <c r="B46" s="55"/>
      <c r="C46" s="45"/>
      <c r="D46" s="101">
        <v>3.739E-2</v>
      </c>
      <c r="E46" s="55" t="s">
        <v>53</v>
      </c>
      <c r="F46" s="40">
        <f t="shared" si="0"/>
        <v>3.739E-2</v>
      </c>
      <c r="G46" s="45"/>
      <c r="H46" s="58"/>
      <c r="I46" s="125" t="s">
        <v>53</v>
      </c>
      <c r="J46" s="101">
        <f>0.03552</f>
        <v>3.5520000000000003E-2</v>
      </c>
      <c r="K46" s="101">
        <f>0.00187</f>
        <v>1.8699999999999999E-3</v>
      </c>
    </row>
    <row r="47" spans="1:11" ht="17.25" customHeight="1" x14ac:dyDescent="0.25">
      <c r="A47" s="267"/>
      <c r="B47" s="55"/>
      <c r="C47" s="45"/>
      <c r="D47" s="103">
        <v>1.917E-2</v>
      </c>
      <c r="E47" s="55" t="s">
        <v>107</v>
      </c>
      <c r="F47" s="40">
        <f t="shared" si="0"/>
        <v>1.917E-2</v>
      </c>
      <c r="G47" s="45"/>
      <c r="H47" s="58"/>
      <c r="I47" s="125" t="s">
        <v>107</v>
      </c>
      <c r="J47" s="103">
        <v>1.917E-2</v>
      </c>
      <c r="K47" s="101">
        <v>0</v>
      </c>
    </row>
    <row r="48" spans="1:11" ht="15.75" x14ac:dyDescent="0.25">
      <c r="A48" s="267"/>
      <c r="B48" s="55"/>
      <c r="C48" s="45"/>
      <c r="D48" s="103">
        <v>5.1700000000000003E-2</v>
      </c>
      <c r="E48" s="55" t="s">
        <v>54</v>
      </c>
      <c r="F48" s="40">
        <f t="shared" si="0"/>
        <v>5.1700000000000003E-2</v>
      </c>
      <c r="G48" s="45"/>
      <c r="H48" s="58"/>
      <c r="I48" s="125" t="s">
        <v>54</v>
      </c>
      <c r="J48" s="103">
        <v>5.1700000000000003E-2</v>
      </c>
      <c r="K48" s="101">
        <v>0</v>
      </c>
    </row>
    <row r="49" spans="1:11" ht="17.25" customHeight="1" x14ac:dyDescent="0.25">
      <c r="A49" s="267"/>
      <c r="B49" s="55"/>
      <c r="C49" s="45"/>
      <c r="D49" s="103">
        <f>0.24516+0.26711+0.24289</f>
        <v>0.75516000000000005</v>
      </c>
      <c r="E49" s="55" t="s">
        <v>55</v>
      </c>
      <c r="F49" s="40">
        <f t="shared" si="0"/>
        <v>0.75516000000000005</v>
      </c>
      <c r="G49" s="45"/>
      <c r="H49" s="58"/>
      <c r="I49" s="125" t="s">
        <v>55</v>
      </c>
      <c r="J49" s="101">
        <f>0.24516+0.26711+0.12145</f>
        <v>0.63372000000000006</v>
      </c>
      <c r="K49" s="101">
        <f>0.12144</f>
        <v>0.12144000000000001</v>
      </c>
    </row>
    <row r="50" spans="1:11" ht="15.75" x14ac:dyDescent="0.25">
      <c r="A50" s="267"/>
      <c r="B50" s="55"/>
      <c r="C50" s="45"/>
      <c r="D50" s="103">
        <f>0.8294</f>
        <v>0.82940000000000003</v>
      </c>
      <c r="E50" s="55" t="s">
        <v>56</v>
      </c>
      <c r="F50" s="40">
        <f t="shared" si="0"/>
        <v>0.82940000000000003</v>
      </c>
      <c r="G50" s="45"/>
      <c r="H50" s="58"/>
      <c r="I50" s="125" t="s">
        <v>56</v>
      </c>
      <c r="J50" s="101">
        <f>0.26158</f>
        <v>0.26157999999999998</v>
      </c>
      <c r="K50" s="101">
        <f>0.56782</f>
        <v>0.56781999999999999</v>
      </c>
    </row>
    <row r="51" spans="1:11" ht="17.25" customHeight="1" x14ac:dyDescent="0.25">
      <c r="A51" s="267"/>
      <c r="B51" s="55"/>
      <c r="C51" s="45"/>
      <c r="D51" s="103">
        <f>0.68266+0.62616+1.87853</f>
        <v>3.1873500000000003</v>
      </c>
      <c r="E51" s="55" t="s">
        <v>57</v>
      </c>
      <c r="F51" s="40">
        <f t="shared" si="0"/>
        <v>3.1873500000000003</v>
      </c>
      <c r="G51" s="45"/>
      <c r="H51" s="58"/>
      <c r="I51" s="125" t="s">
        <v>57</v>
      </c>
      <c r="J51" s="101">
        <f>0.68266+0.62616+0.06262</f>
        <v>1.37144</v>
      </c>
      <c r="K51" s="101">
        <v>1.8159099999999999</v>
      </c>
    </row>
    <row r="52" spans="1:11" ht="15.75" x14ac:dyDescent="0.25">
      <c r="A52" s="267"/>
      <c r="B52" s="55"/>
      <c r="C52" s="45"/>
      <c r="D52" s="103">
        <v>0.51400000000000001</v>
      </c>
      <c r="E52" s="55" t="s">
        <v>108</v>
      </c>
      <c r="F52" s="40">
        <f t="shared" si="0"/>
        <v>0.51400000000000001</v>
      </c>
      <c r="G52" s="45"/>
      <c r="H52" s="58"/>
      <c r="I52" s="125" t="s">
        <v>108</v>
      </c>
      <c r="J52" s="101">
        <f>0.257</f>
        <v>0.25700000000000001</v>
      </c>
      <c r="K52" s="101">
        <f>0.257</f>
        <v>0.25700000000000001</v>
      </c>
    </row>
    <row r="53" spans="1:11" ht="13.5" customHeight="1" x14ac:dyDescent="0.25">
      <c r="A53" s="267"/>
      <c r="B53" s="55"/>
      <c r="C53" s="45"/>
      <c r="D53" s="103">
        <v>1.3168500000000001</v>
      </c>
      <c r="E53" s="55" t="s">
        <v>58</v>
      </c>
      <c r="F53" s="40">
        <f t="shared" si="0"/>
        <v>1.3168500000000001</v>
      </c>
      <c r="G53" s="45"/>
      <c r="H53" s="58"/>
      <c r="I53" s="125" t="s">
        <v>58</v>
      </c>
      <c r="J53" s="101">
        <v>0</v>
      </c>
      <c r="K53" s="103">
        <v>1.3168500000000001</v>
      </c>
    </row>
    <row r="54" spans="1:11" ht="16.5" customHeight="1" x14ac:dyDescent="0.25">
      <c r="A54" s="267"/>
      <c r="B54" s="55"/>
      <c r="C54" s="45"/>
      <c r="D54" s="101">
        <v>0.88980000000000004</v>
      </c>
      <c r="E54" s="55" t="s">
        <v>59</v>
      </c>
      <c r="F54" s="40">
        <f t="shared" si="0"/>
        <v>0.88980000000000004</v>
      </c>
      <c r="G54" s="45"/>
      <c r="H54" s="58"/>
      <c r="I54" s="125" t="s">
        <v>59</v>
      </c>
      <c r="J54" s="101">
        <v>5.9319999999999998E-2</v>
      </c>
      <c r="K54" s="101">
        <f>0.83048</f>
        <v>0.83048</v>
      </c>
    </row>
    <row r="55" spans="1:11" ht="14.25" customHeight="1" x14ac:dyDescent="0.25">
      <c r="A55" s="267"/>
      <c r="B55" s="55"/>
      <c r="C55" s="45"/>
      <c r="D55" s="103">
        <f>0.11771+0.0749</f>
        <v>0.19261</v>
      </c>
      <c r="E55" s="55" t="s">
        <v>109</v>
      </c>
      <c r="F55" s="40">
        <f t="shared" si="0"/>
        <v>0.19261</v>
      </c>
      <c r="G55" s="45"/>
      <c r="H55" s="58"/>
      <c r="I55" s="125" t="s">
        <v>109</v>
      </c>
      <c r="J55" s="103">
        <f>0.11771+0.0749</f>
        <v>0.19261</v>
      </c>
      <c r="K55" s="101">
        <v>0</v>
      </c>
    </row>
    <row r="56" spans="1:11" ht="15" customHeight="1" x14ac:dyDescent="0.25">
      <c r="A56" s="267"/>
      <c r="B56" s="55"/>
      <c r="C56" s="45"/>
      <c r="D56" s="103">
        <f>0.0737+0.07486+0.98986+0.03296</f>
        <v>1.1713800000000001</v>
      </c>
      <c r="E56" s="55" t="s">
        <v>60</v>
      </c>
      <c r="F56" s="40">
        <f t="shared" si="0"/>
        <v>1.1713800000000001</v>
      </c>
      <c r="G56" s="45"/>
      <c r="H56" s="58"/>
      <c r="I56" s="125" t="s">
        <v>60</v>
      </c>
      <c r="J56" s="101">
        <f>2.1018+0.01483-1.73853</f>
        <v>0.37809999999999988</v>
      </c>
      <c r="K56" s="101">
        <f>0.77515+0.01813</f>
        <v>0.79327999999999999</v>
      </c>
    </row>
    <row r="57" spans="1:11" ht="14.25" customHeight="1" x14ac:dyDescent="0.25">
      <c r="A57" s="267"/>
      <c r="B57" s="55"/>
      <c r="C57" s="45"/>
      <c r="D57" s="103">
        <f>0.02842</f>
        <v>2.8420000000000001E-2</v>
      </c>
      <c r="E57" s="55" t="s">
        <v>61</v>
      </c>
      <c r="F57" s="40">
        <f t="shared" si="0"/>
        <v>2.8420000000000001E-2</v>
      </c>
      <c r="G57" s="45"/>
      <c r="H57" s="58"/>
      <c r="I57" s="125" t="s">
        <v>61</v>
      </c>
      <c r="J57" s="101">
        <f>0.01421</f>
        <v>1.421E-2</v>
      </c>
      <c r="K57" s="101">
        <f>0.01421</f>
        <v>1.421E-2</v>
      </c>
    </row>
    <row r="58" spans="1:11" ht="14.25" customHeight="1" x14ac:dyDescent="0.25">
      <c r="A58" s="267"/>
      <c r="B58" s="55"/>
      <c r="C58" s="45"/>
      <c r="D58" s="103">
        <f>0.01864</f>
        <v>1.864E-2</v>
      </c>
      <c r="E58" s="55" t="s">
        <v>62</v>
      </c>
      <c r="F58" s="40">
        <f t="shared" si="0"/>
        <v>1.864E-2</v>
      </c>
      <c r="G58" s="45"/>
      <c r="H58" s="58"/>
      <c r="I58" s="125" t="s">
        <v>62</v>
      </c>
      <c r="J58" s="103">
        <f>0.01864</f>
        <v>1.864E-2</v>
      </c>
      <c r="K58" s="101">
        <v>0</v>
      </c>
    </row>
    <row r="59" spans="1:11" ht="15.75" x14ac:dyDescent="0.25">
      <c r="A59" s="267"/>
      <c r="B59" s="55"/>
      <c r="C59" s="45"/>
      <c r="D59" s="103">
        <v>0.34721000000000002</v>
      </c>
      <c r="E59" s="55" t="s">
        <v>63</v>
      </c>
      <c r="F59" s="40">
        <f t="shared" si="0"/>
        <v>0.34721000000000002</v>
      </c>
      <c r="G59" s="45"/>
      <c r="H59" s="58"/>
      <c r="I59" s="125" t="s">
        <v>63</v>
      </c>
      <c r="J59" s="103">
        <v>0.34721000000000002</v>
      </c>
      <c r="K59" s="101">
        <v>0</v>
      </c>
    </row>
    <row r="60" spans="1:11" ht="15.75" customHeight="1" x14ac:dyDescent="0.25">
      <c r="A60" s="267"/>
      <c r="B60" s="55"/>
      <c r="C60" s="45"/>
      <c r="D60" s="103">
        <f>0.07881+0.47283</f>
        <v>0.55164000000000002</v>
      </c>
      <c r="E60" s="55" t="s">
        <v>64</v>
      </c>
      <c r="F60" s="40">
        <f t="shared" si="0"/>
        <v>0.55164000000000002</v>
      </c>
      <c r="G60" s="45"/>
      <c r="H60" s="58"/>
      <c r="I60" s="125" t="s">
        <v>64</v>
      </c>
      <c r="J60" s="101">
        <f>0.51223</f>
        <v>0.51222999999999996</v>
      </c>
      <c r="K60" s="101">
        <v>3.9410000000000001E-2</v>
      </c>
    </row>
    <row r="61" spans="1:11" ht="13.5" customHeight="1" x14ac:dyDescent="0.25">
      <c r="A61" s="267"/>
      <c r="B61" s="55"/>
      <c r="C61" s="45"/>
      <c r="D61" s="103">
        <v>0.35499999999999998</v>
      </c>
      <c r="E61" s="55" t="s">
        <v>65</v>
      </c>
      <c r="F61" s="40">
        <f t="shared" si="0"/>
        <v>0.35499999999999998</v>
      </c>
      <c r="G61" s="45"/>
      <c r="H61" s="58"/>
      <c r="I61" s="125" t="s">
        <v>65</v>
      </c>
      <c r="J61" s="101">
        <v>0</v>
      </c>
      <c r="K61" s="103">
        <v>0.35499999999999998</v>
      </c>
    </row>
    <row r="62" spans="1:11" ht="15.75" x14ac:dyDescent="0.25">
      <c r="A62" s="267"/>
      <c r="B62" s="55"/>
      <c r="C62" s="45"/>
      <c r="D62" s="103">
        <f>0.20965</f>
        <v>0.20965</v>
      </c>
      <c r="E62" s="55" t="s">
        <v>66</v>
      </c>
      <c r="F62" s="40">
        <f t="shared" si="0"/>
        <v>0.20965</v>
      </c>
      <c r="G62" s="45"/>
      <c r="H62" s="58"/>
      <c r="I62" s="125" t="s">
        <v>66</v>
      </c>
      <c r="J62" s="101">
        <v>0</v>
      </c>
      <c r="K62" s="103">
        <f>0.20965</f>
        <v>0.20965</v>
      </c>
    </row>
    <row r="63" spans="1:11" ht="13.5" customHeight="1" x14ac:dyDescent="0.25">
      <c r="A63" s="267"/>
      <c r="B63" s="55"/>
      <c r="C63" s="45"/>
      <c r="D63" s="103">
        <f>0.20143</f>
        <v>0.20143</v>
      </c>
      <c r="E63" s="55" t="s">
        <v>67</v>
      </c>
      <c r="F63" s="40">
        <f t="shared" si="0"/>
        <v>0.20143</v>
      </c>
      <c r="G63" s="45"/>
      <c r="H63" s="58"/>
      <c r="I63" s="125" t="s">
        <v>67</v>
      </c>
      <c r="J63" s="103">
        <v>0</v>
      </c>
      <c r="K63" s="103">
        <f>0.20143</f>
        <v>0.20143</v>
      </c>
    </row>
    <row r="64" spans="1:11" ht="15.75" customHeight="1" x14ac:dyDescent="0.25">
      <c r="A64" s="267"/>
      <c r="B64" s="55"/>
      <c r="C64" s="45"/>
      <c r="D64" s="103">
        <f>1.2835</f>
        <v>1.2835000000000001</v>
      </c>
      <c r="E64" s="55" t="s">
        <v>68</v>
      </c>
      <c r="F64" s="40">
        <f t="shared" si="0"/>
        <v>1.2835000000000001</v>
      </c>
      <c r="G64" s="45"/>
      <c r="H64" s="58"/>
      <c r="I64" s="125" t="s">
        <v>68</v>
      </c>
      <c r="J64" s="101">
        <f>0.64175</f>
        <v>0.64175000000000004</v>
      </c>
      <c r="K64" s="101">
        <f>0.64175</f>
        <v>0.64175000000000004</v>
      </c>
    </row>
    <row r="65" spans="1:11" ht="16.5" customHeight="1" x14ac:dyDescent="0.25">
      <c r="A65" s="267"/>
      <c r="B65" s="55"/>
      <c r="C65" s="45"/>
      <c r="D65" s="103">
        <f>0.59265+0.01943+0.19319</f>
        <v>0.80526999999999993</v>
      </c>
      <c r="E65" s="55" t="s">
        <v>69</v>
      </c>
      <c r="F65" s="40">
        <f t="shared" si="0"/>
        <v>0.80526999999999993</v>
      </c>
      <c r="G65" s="45"/>
      <c r="H65" s="58"/>
      <c r="I65" s="125" t="s">
        <v>69</v>
      </c>
      <c r="J65" s="101">
        <f>0.42736</f>
        <v>0.42736000000000002</v>
      </c>
      <c r="K65" s="101">
        <f>0.37791</f>
        <v>0.37791000000000002</v>
      </c>
    </row>
    <row r="66" spans="1:11" ht="15.75" x14ac:dyDescent="0.25">
      <c r="A66" s="267"/>
      <c r="B66" s="55"/>
      <c r="C66" s="45"/>
      <c r="D66" s="103">
        <f>0.15089+0.294</f>
        <v>0.44489000000000001</v>
      </c>
      <c r="E66" s="55" t="s">
        <v>70</v>
      </c>
      <c r="F66" s="40">
        <f t="shared" si="0"/>
        <v>0.44489000000000001</v>
      </c>
      <c r="G66" s="45"/>
      <c r="H66" s="58"/>
      <c r="I66" s="125" t="s">
        <v>70</v>
      </c>
      <c r="J66" s="101">
        <f>0.33737</f>
        <v>0.33737</v>
      </c>
      <c r="K66" s="101">
        <f>0.10752</f>
        <v>0.10752</v>
      </c>
    </row>
    <row r="67" spans="1:11" ht="17.25" customHeight="1" x14ac:dyDescent="0.25">
      <c r="A67" s="267"/>
      <c r="B67" s="55"/>
      <c r="C67" s="45"/>
      <c r="D67" s="103">
        <f>0.24717</f>
        <v>0.24717</v>
      </c>
      <c r="E67" s="55" t="s">
        <v>71</v>
      </c>
      <c r="F67" s="40">
        <f t="shared" si="0"/>
        <v>0.24717</v>
      </c>
      <c r="G67" s="45"/>
      <c r="H67" s="58"/>
      <c r="I67" s="125" t="s">
        <v>71</v>
      </c>
      <c r="J67" s="101">
        <v>0</v>
      </c>
      <c r="K67" s="103">
        <f>0.24717</f>
        <v>0.24717</v>
      </c>
    </row>
    <row r="68" spans="1:11" ht="30.75" customHeight="1" x14ac:dyDescent="0.25">
      <c r="A68" s="267"/>
      <c r="B68" s="55"/>
      <c r="C68" s="45"/>
      <c r="D68" s="103">
        <f>0.32502</f>
        <v>0.32501999999999998</v>
      </c>
      <c r="E68" s="55" t="s">
        <v>120</v>
      </c>
      <c r="F68" s="40">
        <f t="shared" si="0"/>
        <v>0.32501999999999998</v>
      </c>
      <c r="G68" s="45"/>
      <c r="H68" s="58"/>
      <c r="I68" s="125" t="s">
        <v>120</v>
      </c>
      <c r="J68" s="101">
        <v>0</v>
      </c>
      <c r="K68" s="103">
        <f>0.32502</f>
        <v>0.32501999999999998</v>
      </c>
    </row>
    <row r="69" spans="1:11" ht="19.5" customHeight="1" x14ac:dyDescent="0.25">
      <c r="A69" s="267"/>
      <c r="B69" s="55"/>
      <c r="C69" s="45"/>
      <c r="D69" s="103">
        <f>4.2372</f>
        <v>4.2371999999999996</v>
      </c>
      <c r="E69" s="55" t="s">
        <v>72</v>
      </c>
      <c r="F69" s="40">
        <f t="shared" si="0"/>
        <v>4.2371999999999996</v>
      </c>
      <c r="G69" s="45"/>
      <c r="H69" s="58"/>
      <c r="I69" s="125" t="s">
        <v>72</v>
      </c>
      <c r="J69" s="101">
        <v>3.5310000000000001</v>
      </c>
      <c r="K69" s="101">
        <v>0.70620000000000005</v>
      </c>
    </row>
    <row r="70" spans="1:11" ht="16.5" customHeight="1" x14ac:dyDescent="0.25">
      <c r="A70" s="267"/>
      <c r="B70" s="55"/>
      <c r="C70" s="45"/>
      <c r="D70" s="101">
        <f>0.05484+0.1939</f>
        <v>0.24873999999999999</v>
      </c>
      <c r="E70" s="55" t="s">
        <v>73</v>
      </c>
      <c r="F70" s="40">
        <f t="shared" si="0"/>
        <v>0.24873999999999999</v>
      </c>
      <c r="G70" s="45"/>
      <c r="H70" s="58"/>
      <c r="I70" s="125" t="s">
        <v>73</v>
      </c>
      <c r="J70" s="101">
        <v>0.11748</v>
      </c>
      <c r="K70" s="101">
        <v>0.13125999999999999</v>
      </c>
    </row>
    <row r="71" spans="1:11" ht="12.75" customHeight="1" x14ac:dyDescent="0.25">
      <c r="A71" s="267"/>
      <c r="B71" s="55"/>
      <c r="C71" s="45"/>
      <c r="D71" s="103">
        <f>0.01744</f>
        <v>1.7440000000000001E-2</v>
      </c>
      <c r="E71" s="55" t="s">
        <v>74</v>
      </c>
      <c r="F71" s="40">
        <f t="shared" si="0"/>
        <v>1.7440000000000001E-2</v>
      </c>
      <c r="G71" s="45"/>
      <c r="H71" s="58"/>
      <c r="I71" s="125" t="s">
        <v>74</v>
      </c>
      <c r="J71" s="103">
        <f>0.01744</f>
        <v>1.7440000000000001E-2</v>
      </c>
      <c r="K71" s="101">
        <v>0</v>
      </c>
    </row>
    <row r="72" spans="1:11" ht="13.5" customHeight="1" x14ac:dyDescent="0.25">
      <c r="A72" s="267"/>
      <c r="B72" s="55"/>
      <c r="C72" s="45"/>
      <c r="D72" s="103">
        <v>0.27403</v>
      </c>
      <c r="E72" s="55" t="s">
        <v>75</v>
      </c>
      <c r="F72" s="40">
        <f t="shared" si="0"/>
        <v>0.27403</v>
      </c>
      <c r="G72" s="45"/>
      <c r="H72" s="58"/>
      <c r="I72" s="125" t="s">
        <v>75</v>
      </c>
      <c r="J72" s="101">
        <v>0</v>
      </c>
      <c r="K72" s="103">
        <v>0.27403</v>
      </c>
    </row>
    <row r="73" spans="1:11" ht="14.25" customHeight="1" x14ac:dyDescent="0.25">
      <c r="A73" s="267"/>
      <c r="B73" s="55"/>
      <c r="C73" s="45"/>
      <c r="D73" s="103">
        <f>0.11689+0.23377+0.99645+0.24156</f>
        <v>1.5886699999999998</v>
      </c>
      <c r="E73" s="55" t="s">
        <v>76</v>
      </c>
      <c r="F73" s="40">
        <f t="shared" si="0"/>
        <v>1.5886699999999998</v>
      </c>
      <c r="G73" s="45"/>
      <c r="H73" s="58"/>
      <c r="I73" s="125" t="s">
        <v>76</v>
      </c>
      <c r="J73" s="101">
        <v>0.97269000000000005</v>
      </c>
      <c r="K73" s="101">
        <v>0.61597999999999997</v>
      </c>
    </row>
    <row r="74" spans="1:11" ht="16.5" customHeight="1" x14ac:dyDescent="0.25">
      <c r="A74" s="267"/>
      <c r="B74" s="55"/>
      <c r="C74" s="45"/>
      <c r="D74" s="103">
        <v>3.8603499999999999</v>
      </c>
      <c r="E74" s="55" t="s">
        <v>77</v>
      </c>
      <c r="F74" s="40">
        <f t="shared" si="0"/>
        <v>3.8603499999999999</v>
      </c>
      <c r="G74" s="45"/>
      <c r="H74" s="58"/>
      <c r="I74" s="125" t="s">
        <v>77</v>
      </c>
      <c r="J74" s="101">
        <f>2.1232</f>
        <v>2.1232000000000002</v>
      </c>
      <c r="K74" s="101">
        <v>1.73715</v>
      </c>
    </row>
    <row r="75" spans="1:11" ht="15.75" customHeight="1" x14ac:dyDescent="0.25">
      <c r="A75" s="267"/>
      <c r="B75" s="55"/>
      <c r="C75" s="45"/>
      <c r="D75" s="103">
        <f>0.2048</f>
        <v>0.20480000000000001</v>
      </c>
      <c r="E75" s="55" t="s">
        <v>78</v>
      </c>
      <c r="F75" s="40">
        <f t="shared" si="0"/>
        <v>0.20480000000000001</v>
      </c>
      <c r="G75" s="45"/>
      <c r="H75" s="58"/>
      <c r="I75" s="125" t="s">
        <v>78</v>
      </c>
      <c r="J75" s="103">
        <f>0.2048</f>
        <v>0.20480000000000001</v>
      </c>
      <c r="K75" s="101">
        <v>0</v>
      </c>
    </row>
    <row r="76" spans="1:11" ht="13.5" customHeight="1" x14ac:dyDescent="0.25">
      <c r="A76" s="267"/>
      <c r="B76" s="55"/>
      <c r="C76" s="45"/>
      <c r="D76" s="103">
        <f>0.4806</f>
        <v>0.48060000000000003</v>
      </c>
      <c r="E76" s="55" t="s">
        <v>79</v>
      </c>
      <c r="F76" s="40">
        <f t="shared" si="0"/>
        <v>0.48060000000000003</v>
      </c>
      <c r="G76" s="45"/>
      <c r="H76" s="58"/>
      <c r="I76" s="125" t="s">
        <v>79</v>
      </c>
      <c r="J76" s="103">
        <f>0.4806</f>
        <v>0.48060000000000003</v>
      </c>
      <c r="K76" s="101">
        <v>0</v>
      </c>
    </row>
    <row r="77" spans="1:11" ht="17.25" customHeight="1" x14ac:dyDescent="0.25">
      <c r="A77" s="267"/>
      <c r="B77" s="55"/>
      <c r="C77" s="45"/>
      <c r="D77" s="103">
        <f>0.19456</f>
        <v>0.19456000000000001</v>
      </c>
      <c r="E77" s="55" t="s">
        <v>121</v>
      </c>
      <c r="F77" s="40">
        <f t="shared" si="0"/>
        <v>0.19456000000000001</v>
      </c>
      <c r="G77" s="45"/>
      <c r="H77" s="58"/>
      <c r="I77" s="125" t="s">
        <v>121</v>
      </c>
      <c r="J77" s="101">
        <f>0.14268</f>
        <v>0.14268</v>
      </c>
      <c r="K77" s="101">
        <v>5.1880000000000003E-2</v>
      </c>
    </row>
    <row r="78" spans="1:11" ht="16.5" customHeight="1" x14ac:dyDescent="0.25">
      <c r="A78" s="267"/>
      <c r="B78" s="55"/>
      <c r="C78" s="45"/>
      <c r="D78" s="103">
        <f>0.2722</f>
        <v>0.2722</v>
      </c>
      <c r="E78" s="55" t="s">
        <v>80</v>
      </c>
      <c r="F78" s="40">
        <f t="shared" ref="F78:F113" si="1">D78</f>
        <v>0.2722</v>
      </c>
      <c r="G78" s="45"/>
      <c r="H78" s="58"/>
      <c r="I78" s="125" t="s">
        <v>80</v>
      </c>
      <c r="J78" s="101">
        <v>0</v>
      </c>
      <c r="K78" s="103">
        <f>0.2722</f>
        <v>0.2722</v>
      </c>
    </row>
    <row r="79" spans="1:11" ht="12.75" customHeight="1" x14ac:dyDescent="0.25">
      <c r="A79" s="267"/>
      <c r="B79" s="55"/>
      <c r="C79" s="45"/>
      <c r="D79" s="103">
        <f>0.33545+0.10563</f>
        <v>0.44108000000000003</v>
      </c>
      <c r="E79" s="55" t="s">
        <v>81</v>
      </c>
      <c r="F79" s="40">
        <f t="shared" si="1"/>
        <v>0.44108000000000003</v>
      </c>
      <c r="G79" s="45"/>
      <c r="H79" s="58"/>
      <c r="I79" s="125" t="s">
        <v>81</v>
      </c>
      <c r="J79" s="101">
        <v>9.2480000000000007E-2</v>
      </c>
      <c r="K79" s="101">
        <v>0.34860000000000002</v>
      </c>
    </row>
    <row r="80" spans="1:11" ht="14.25" customHeight="1" x14ac:dyDescent="0.25">
      <c r="A80" s="267"/>
      <c r="B80" s="55"/>
      <c r="C80" s="45"/>
      <c r="D80" s="103">
        <f>0.1548+0.6776</f>
        <v>0.83240000000000003</v>
      </c>
      <c r="E80" s="55" t="s">
        <v>82</v>
      </c>
      <c r="F80" s="40">
        <f t="shared" si="1"/>
        <v>0.83240000000000003</v>
      </c>
      <c r="G80" s="45"/>
      <c r="H80" s="58"/>
      <c r="I80" s="125" t="s">
        <v>82</v>
      </c>
      <c r="J80" s="101">
        <f>0.1694</f>
        <v>0.1694</v>
      </c>
      <c r="K80" s="101">
        <f>0.663</f>
        <v>0.66300000000000003</v>
      </c>
    </row>
    <row r="81" spans="1:11" ht="14.25" customHeight="1" x14ac:dyDescent="0.25">
      <c r="A81" s="267"/>
      <c r="B81" s="55"/>
      <c r="C81" s="45"/>
      <c r="D81" s="103">
        <v>2.2499999999999999E-2</v>
      </c>
      <c r="E81" s="55" t="s">
        <v>83</v>
      </c>
      <c r="F81" s="40">
        <f t="shared" si="1"/>
        <v>2.2499999999999999E-2</v>
      </c>
      <c r="G81" s="45"/>
      <c r="H81" s="58"/>
      <c r="I81" s="125" t="s">
        <v>83</v>
      </c>
      <c r="J81" s="101">
        <v>0</v>
      </c>
      <c r="K81" s="103">
        <v>2.2499999999999999E-2</v>
      </c>
    </row>
    <row r="82" spans="1:11" ht="12.75" customHeight="1" x14ac:dyDescent="0.25">
      <c r="A82" s="267"/>
      <c r="B82" s="55"/>
      <c r="C82" s="45"/>
      <c r="D82" s="103">
        <v>2.2499999999999999E-2</v>
      </c>
      <c r="E82" s="55" t="s">
        <v>84</v>
      </c>
      <c r="F82" s="40">
        <f t="shared" si="1"/>
        <v>2.2499999999999999E-2</v>
      </c>
      <c r="G82" s="45"/>
      <c r="H82" s="58"/>
      <c r="I82" s="125" t="s">
        <v>84</v>
      </c>
      <c r="J82" s="101">
        <v>1.125E-2</v>
      </c>
      <c r="K82" s="101">
        <v>1.125E-2</v>
      </c>
    </row>
    <row r="83" spans="1:11" ht="12.75" customHeight="1" x14ac:dyDescent="0.25">
      <c r="A83" s="267"/>
      <c r="B83" s="55"/>
      <c r="C83" s="45"/>
      <c r="D83" s="101">
        <f>0.0225</f>
        <v>2.2499999999999999E-2</v>
      </c>
      <c r="E83" s="55" t="s">
        <v>85</v>
      </c>
      <c r="F83" s="40">
        <f t="shared" si="1"/>
        <v>2.2499999999999999E-2</v>
      </c>
      <c r="G83" s="45"/>
      <c r="H83" s="58"/>
      <c r="I83" s="125" t="s">
        <v>85</v>
      </c>
      <c r="J83" s="101">
        <v>0</v>
      </c>
      <c r="K83" s="101">
        <f>0.0225</f>
        <v>2.2499999999999999E-2</v>
      </c>
    </row>
    <row r="84" spans="1:11" ht="27" customHeight="1" x14ac:dyDescent="0.25">
      <c r="A84" s="267"/>
      <c r="B84" s="55"/>
      <c r="C84" s="45"/>
      <c r="D84" s="103">
        <f>0.6915</f>
        <v>0.6915</v>
      </c>
      <c r="E84" s="55" t="s">
        <v>122</v>
      </c>
      <c r="F84" s="40">
        <f t="shared" si="1"/>
        <v>0.6915</v>
      </c>
      <c r="G84" s="45"/>
      <c r="H84" s="58"/>
      <c r="I84" s="125" t="s">
        <v>86</v>
      </c>
      <c r="J84" s="101">
        <v>0</v>
      </c>
      <c r="K84" s="103">
        <f>0.6915</f>
        <v>0.6915</v>
      </c>
    </row>
    <row r="85" spans="1:11" ht="16.5" customHeight="1" x14ac:dyDescent="0.25">
      <c r="A85" s="267"/>
      <c r="B85" s="55"/>
      <c r="C85" s="45"/>
      <c r="D85" s="103">
        <f>5.44095+2.81538+7.37979</f>
        <v>15.63612</v>
      </c>
      <c r="E85" s="55" t="s">
        <v>87</v>
      </c>
      <c r="F85" s="40">
        <f t="shared" si="1"/>
        <v>15.63612</v>
      </c>
      <c r="G85" s="45"/>
      <c r="H85" s="58"/>
      <c r="I85" s="125" t="s">
        <v>87</v>
      </c>
      <c r="J85" s="101">
        <v>11.829700000000001</v>
      </c>
      <c r="K85" s="101">
        <f>3.80642</f>
        <v>3.8064200000000001</v>
      </c>
    </row>
    <row r="86" spans="1:11" ht="29.25" customHeight="1" x14ac:dyDescent="0.25">
      <c r="A86" s="267"/>
      <c r="B86" s="55"/>
      <c r="C86" s="45"/>
      <c r="D86" s="103">
        <v>0.11871</v>
      </c>
      <c r="E86" s="55" t="s">
        <v>88</v>
      </c>
      <c r="F86" s="40">
        <f t="shared" si="1"/>
        <v>0.11871</v>
      </c>
      <c r="G86" s="45"/>
      <c r="H86" s="58"/>
      <c r="I86" s="125" t="s">
        <v>88</v>
      </c>
      <c r="J86" s="101">
        <v>0</v>
      </c>
      <c r="K86" s="103">
        <v>0.11871</v>
      </c>
    </row>
    <row r="87" spans="1:11" ht="13.5" customHeight="1" x14ac:dyDescent="0.25">
      <c r="A87" s="267"/>
      <c r="B87" s="55"/>
      <c r="C87" s="45"/>
      <c r="D87" s="103">
        <v>3.8841000000000001</v>
      </c>
      <c r="E87" s="55" t="s">
        <v>89</v>
      </c>
      <c r="F87" s="40">
        <f t="shared" si="1"/>
        <v>3.8841000000000001</v>
      </c>
      <c r="G87" s="45"/>
      <c r="H87" s="58"/>
      <c r="I87" s="125" t="s">
        <v>89</v>
      </c>
      <c r="J87" s="101">
        <f>3.48275</f>
        <v>3.4827499999999998</v>
      </c>
      <c r="K87" s="101">
        <f>0.40135</f>
        <v>0.40134999999999998</v>
      </c>
    </row>
    <row r="88" spans="1:11" ht="18" customHeight="1" x14ac:dyDescent="0.25">
      <c r="A88" s="267"/>
      <c r="B88" s="55"/>
      <c r="C88" s="45"/>
      <c r="D88" s="103">
        <v>4.298</v>
      </c>
      <c r="E88" s="55" t="s">
        <v>123</v>
      </c>
      <c r="F88" s="40">
        <f t="shared" si="1"/>
        <v>4.298</v>
      </c>
      <c r="G88" s="45"/>
      <c r="H88" s="58"/>
      <c r="I88" s="125" t="s">
        <v>123</v>
      </c>
      <c r="J88" s="101">
        <v>1.5349999999999999</v>
      </c>
      <c r="K88" s="101">
        <v>2.7629999999999999</v>
      </c>
    </row>
    <row r="89" spans="1:11" ht="15.75" customHeight="1" x14ac:dyDescent="0.25">
      <c r="A89" s="267"/>
      <c r="B89" s="55"/>
      <c r="C89" s="45"/>
      <c r="D89" s="103">
        <f>3.377</f>
        <v>3.3769999999999998</v>
      </c>
      <c r="E89" s="55" t="s">
        <v>124</v>
      </c>
      <c r="F89" s="40">
        <f t="shared" si="1"/>
        <v>3.3769999999999998</v>
      </c>
      <c r="G89" s="45"/>
      <c r="H89" s="58"/>
      <c r="I89" s="125" t="s">
        <v>124</v>
      </c>
      <c r="J89" s="101">
        <v>1.5964</v>
      </c>
      <c r="K89" s="101">
        <v>1.7806</v>
      </c>
    </row>
    <row r="90" spans="1:11" ht="15" customHeight="1" x14ac:dyDescent="0.25">
      <c r="A90" s="267"/>
      <c r="B90" s="55"/>
      <c r="C90" s="45"/>
      <c r="D90" s="103">
        <v>2.7629999999999999</v>
      </c>
      <c r="E90" s="55" t="s">
        <v>125</v>
      </c>
      <c r="F90" s="40">
        <f t="shared" si="1"/>
        <v>2.7629999999999999</v>
      </c>
      <c r="G90" s="45"/>
      <c r="H90" s="58"/>
      <c r="I90" s="125" t="s">
        <v>125</v>
      </c>
      <c r="J90" s="101">
        <v>2.149</v>
      </c>
      <c r="K90" s="101">
        <f>0.614</f>
        <v>0.61399999999999999</v>
      </c>
    </row>
    <row r="91" spans="1:11" ht="17.25" customHeight="1" x14ac:dyDescent="0.25">
      <c r="A91" s="267"/>
      <c r="B91" s="55"/>
      <c r="C91" s="45"/>
      <c r="D91" s="103">
        <v>1.228</v>
      </c>
      <c r="E91" s="55" t="s">
        <v>126</v>
      </c>
      <c r="F91" s="40">
        <f t="shared" si="1"/>
        <v>1.228</v>
      </c>
      <c r="G91" s="45"/>
      <c r="H91" s="58"/>
      <c r="I91" s="125" t="s">
        <v>126</v>
      </c>
      <c r="J91" s="103">
        <v>1.228</v>
      </c>
      <c r="K91" s="101">
        <v>0</v>
      </c>
    </row>
    <row r="92" spans="1:11" ht="28.5" customHeight="1" x14ac:dyDescent="0.25">
      <c r="A92" s="267"/>
      <c r="B92" s="55"/>
      <c r="C92" s="45"/>
      <c r="D92" s="103">
        <f>0.921</f>
        <v>0.92100000000000004</v>
      </c>
      <c r="E92" s="55" t="s">
        <v>127</v>
      </c>
      <c r="F92" s="40">
        <f t="shared" si="1"/>
        <v>0.92100000000000004</v>
      </c>
      <c r="G92" s="45"/>
      <c r="H92" s="58"/>
      <c r="I92" s="125" t="s">
        <v>127</v>
      </c>
      <c r="J92" s="103">
        <f>0.921</f>
        <v>0.92100000000000004</v>
      </c>
      <c r="K92" s="101">
        <v>0</v>
      </c>
    </row>
    <row r="93" spans="1:11" ht="15.75" customHeight="1" x14ac:dyDescent="0.25">
      <c r="A93" s="267"/>
      <c r="B93" s="55"/>
      <c r="C93" s="45"/>
      <c r="D93" s="103">
        <v>1.7751300000000001</v>
      </c>
      <c r="E93" s="55" t="s">
        <v>112</v>
      </c>
      <c r="F93" s="40">
        <f t="shared" si="1"/>
        <v>1.7751300000000001</v>
      </c>
      <c r="G93" s="45"/>
      <c r="H93" s="58"/>
      <c r="I93" s="125" t="s">
        <v>112</v>
      </c>
      <c r="J93" s="103">
        <v>1.7751300000000001</v>
      </c>
      <c r="K93" s="101">
        <v>0</v>
      </c>
    </row>
    <row r="94" spans="1:11" ht="30" x14ac:dyDescent="0.25">
      <c r="A94" s="267"/>
      <c r="B94" s="55"/>
      <c r="C94" s="45"/>
      <c r="D94" s="103">
        <f>2.763</f>
        <v>2.7629999999999999</v>
      </c>
      <c r="E94" s="55" t="s">
        <v>128</v>
      </c>
      <c r="F94" s="40">
        <f t="shared" si="1"/>
        <v>2.7629999999999999</v>
      </c>
      <c r="G94" s="45"/>
      <c r="H94" s="58"/>
      <c r="I94" s="125" t="s">
        <v>128</v>
      </c>
      <c r="J94" s="101">
        <f>2.456</f>
        <v>2.456</v>
      </c>
      <c r="K94" s="101">
        <v>0.307</v>
      </c>
    </row>
    <row r="95" spans="1:11" ht="13.5" customHeight="1" x14ac:dyDescent="0.25">
      <c r="A95" s="267"/>
      <c r="B95" s="55"/>
      <c r="C95" s="45"/>
      <c r="D95" s="103">
        <v>1.7751300000000001</v>
      </c>
      <c r="E95" s="55" t="s">
        <v>111</v>
      </c>
      <c r="F95" s="40">
        <f t="shared" si="1"/>
        <v>1.7751300000000001</v>
      </c>
      <c r="G95" s="45"/>
      <c r="H95" s="58"/>
      <c r="I95" s="125" t="s">
        <v>111</v>
      </c>
      <c r="J95" s="103">
        <v>1.7751300000000001</v>
      </c>
      <c r="K95" s="101">
        <v>0</v>
      </c>
    </row>
    <row r="96" spans="1:11" ht="15.75" customHeight="1" x14ac:dyDescent="0.25">
      <c r="A96" s="267"/>
      <c r="B96" s="55"/>
      <c r="C96" s="45"/>
      <c r="D96" s="103">
        <v>2.9788800000000002</v>
      </c>
      <c r="E96" s="55" t="s">
        <v>90</v>
      </c>
      <c r="F96" s="40">
        <f t="shared" si="1"/>
        <v>2.9788800000000002</v>
      </c>
      <c r="G96" s="45"/>
      <c r="H96" s="58"/>
      <c r="I96" s="125" t="s">
        <v>90</v>
      </c>
      <c r="J96" s="101">
        <f>2.0544</f>
        <v>2.0543999999999998</v>
      </c>
      <c r="K96" s="101">
        <v>0.92447999999999997</v>
      </c>
    </row>
    <row r="97" spans="1:11" ht="15" customHeight="1" x14ac:dyDescent="0.25">
      <c r="A97" s="267"/>
      <c r="B97" s="55"/>
      <c r="C97" s="45"/>
      <c r="D97" s="103">
        <f>2.98123+1.39614</f>
        <v>4.37737</v>
      </c>
      <c r="E97" s="55" t="s">
        <v>91</v>
      </c>
      <c r="F97" s="40">
        <f t="shared" si="1"/>
        <v>4.37737</v>
      </c>
      <c r="G97" s="45"/>
      <c r="H97" s="58"/>
      <c r="I97" s="125" t="s">
        <v>91</v>
      </c>
      <c r="J97" s="101">
        <f>1.9378</f>
        <v>1.9378</v>
      </c>
      <c r="K97" s="101">
        <f>2.43957</f>
        <v>2.4395699999999998</v>
      </c>
    </row>
    <row r="98" spans="1:11" ht="13.5" customHeight="1" x14ac:dyDescent="0.25">
      <c r="A98" s="267"/>
      <c r="B98" s="55"/>
      <c r="C98" s="45"/>
      <c r="D98" s="103">
        <v>0.58884000000000003</v>
      </c>
      <c r="E98" s="55" t="s">
        <v>92</v>
      </c>
      <c r="F98" s="40">
        <f t="shared" si="1"/>
        <v>0.58884000000000003</v>
      </c>
      <c r="G98" s="45"/>
      <c r="H98" s="58"/>
      <c r="I98" s="125" t="s">
        <v>92</v>
      </c>
      <c r="J98" s="103">
        <v>0</v>
      </c>
      <c r="K98" s="103">
        <v>0.58884000000000003</v>
      </c>
    </row>
    <row r="99" spans="1:11" ht="13.5" customHeight="1" x14ac:dyDescent="0.25">
      <c r="A99" s="267"/>
      <c r="B99" s="55"/>
      <c r="C99" s="45"/>
      <c r="D99" s="103">
        <v>2.6329999999999999E-2</v>
      </c>
      <c r="E99" s="55" t="s">
        <v>93</v>
      </c>
      <c r="F99" s="40">
        <f t="shared" si="1"/>
        <v>2.6329999999999999E-2</v>
      </c>
      <c r="G99" s="45"/>
      <c r="H99" s="58"/>
      <c r="I99" s="125" t="s">
        <v>93</v>
      </c>
      <c r="J99" s="103">
        <v>2.6329999999999999E-2</v>
      </c>
      <c r="K99" s="101">
        <v>0</v>
      </c>
    </row>
    <row r="100" spans="1:11" ht="13.5" customHeight="1" x14ac:dyDescent="0.25">
      <c r="A100" s="267"/>
      <c r="B100" s="55"/>
      <c r="C100" s="45"/>
      <c r="D100" s="103">
        <f>1.9231</f>
        <v>1.9231</v>
      </c>
      <c r="E100" s="55" t="s">
        <v>94</v>
      </c>
      <c r="F100" s="40">
        <f t="shared" si="1"/>
        <v>1.9231</v>
      </c>
      <c r="G100" s="45"/>
      <c r="H100" s="58"/>
      <c r="I100" s="125" t="s">
        <v>94</v>
      </c>
      <c r="J100" s="101">
        <v>0.27472999999999997</v>
      </c>
      <c r="K100" s="101">
        <f>1.64837</f>
        <v>1.6483699999999999</v>
      </c>
    </row>
    <row r="101" spans="1:11" ht="15" customHeight="1" x14ac:dyDescent="0.25">
      <c r="A101" s="267"/>
      <c r="B101" s="55"/>
      <c r="C101" s="45"/>
      <c r="D101" s="103">
        <v>0.95101999999999998</v>
      </c>
      <c r="E101" s="55" t="s">
        <v>95</v>
      </c>
      <c r="F101" s="40">
        <f t="shared" si="1"/>
        <v>0.95101999999999998</v>
      </c>
      <c r="G101" s="45"/>
      <c r="H101" s="58"/>
      <c r="I101" s="125" t="s">
        <v>95</v>
      </c>
      <c r="J101" s="103">
        <v>0</v>
      </c>
      <c r="K101" s="103">
        <v>0.95101999999999998</v>
      </c>
    </row>
    <row r="102" spans="1:11" ht="15" customHeight="1" x14ac:dyDescent="0.25">
      <c r="A102" s="267"/>
      <c r="B102" s="55"/>
      <c r="C102" s="45"/>
      <c r="D102" s="103">
        <f>5.12487+8.05122</f>
        <v>13.17609</v>
      </c>
      <c r="E102" s="55" t="s">
        <v>96</v>
      </c>
      <c r="F102" s="40">
        <f t="shared" si="1"/>
        <v>13.17609</v>
      </c>
      <c r="G102" s="45"/>
      <c r="H102" s="58"/>
      <c r="I102" s="125" t="s">
        <v>96</v>
      </c>
      <c r="J102" s="101">
        <v>10.27764</v>
      </c>
      <c r="K102" s="101">
        <f>2.89845</f>
        <v>2.89845</v>
      </c>
    </row>
    <row r="103" spans="1:11" ht="15" customHeight="1" x14ac:dyDescent="0.25">
      <c r="A103" s="267"/>
      <c r="B103" s="55"/>
      <c r="C103" s="45"/>
      <c r="D103" s="103">
        <v>0.19153999999999999</v>
      </c>
      <c r="E103" s="55" t="s">
        <v>97</v>
      </c>
      <c r="F103" s="40">
        <f t="shared" si="1"/>
        <v>0.19153999999999999</v>
      </c>
      <c r="G103" s="45"/>
      <c r="H103" s="58"/>
      <c r="I103" s="125" t="s">
        <v>97</v>
      </c>
      <c r="J103" s="101">
        <f>0.07367</f>
        <v>7.3669999999999999E-2</v>
      </c>
      <c r="K103" s="101">
        <f>0.11787</f>
        <v>0.11787</v>
      </c>
    </row>
    <row r="104" spans="1:11" ht="14.25" customHeight="1" x14ac:dyDescent="0.25">
      <c r="A104" s="267"/>
      <c r="B104" s="55"/>
      <c r="C104" s="45"/>
      <c r="D104" s="103">
        <f>0.36504</f>
        <v>0.36503999999999998</v>
      </c>
      <c r="E104" s="55" t="s">
        <v>98</v>
      </c>
      <c r="F104" s="40">
        <f t="shared" si="1"/>
        <v>0.36503999999999998</v>
      </c>
      <c r="G104" s="45"/>
      <c r="H104" s="58"/>
      <c r="I104" s="125" t="s">
        <v>98</v>
      </c>
      <c r="J104" s="101">
        <f>0.21294</f>
        <v>0.21293999999999999</v>
      </c>
      <c r="K104" s="101">
        <f>0.1521</f>
        <v>0.15210000000000001</v>
      </c>
    </row>
    <row r="105" spans="1:11" ht="13.5" customHeight="1" x14ac:dyDescent="0.25">
      <c r="A105" s="267"/>
      <c r="B105" s="55"/>
      <c r="C105" s="45"/>
      <c r="D105" s="103">
        <v>0.63729000000000002</v>
      </c>
      <c r="E105" s="55" t="s">
        <v>99</v>
      </c>
      <c r="F105" s="40">
        <f t="shared" si="1"/>
        <v>0.63729000000000002</v>
      </c>
      <c r="G105" s="45"/>
      <c r="H105" s="58"/>
      <c r="I105" s="125" t="s">
        <v>99</v>
      </c>
      <c r="J105" s="103">
        <v>0.63729000000000002</v>
      </c>
      <c r="K105" s="101">
        <v>0</v>
      </c>
    </row>
    <row r="106" spans="1:11" ht="12.75" customHeight="1" x14ac:dyDescent="0.25">
      <c r="A106" s="267"/>
      <c r="B106" s="55"/>
      <c r="C106" s="45"/>
      <c r="D106" s="103">
        <f>0.95626</f>
        <v>0.95626</v>
      </c>
      <c r="E106" s="55" t="s">
        <v>100</v>
      </c>
      <c r="F106" s="40">
        <f t="shared" si="1"/>
        <v>0.95626</v>
      </c>
      <c r="G106" s="45"/>
      <c r="H106" s="58"/>
      <c r="I106" s="125" t="s">
        <v>100</v>
      </c>
      <c r="J106" s="101">
        <f>0.3825</f>
        <v>0.38250000000000001</v>
      </c>
      <c r="K106" s="101">
        <f>0.57376</f>
        <v>0.57376000000000005</v>
      </c>
    </row>
    <row r="107" spans="1:11" ht="15" customHeight="1" x14ac:dyDescent="0.25">
      <c r="A107" s="267"/>
      <c r="B107" s="55"/>
      <c r="C107" s="45"/>
      <c r="D107" s="103">
        <f>0.17345+0.276+0.08587-0.00006</f>
        <v>0.53526000000000007</v>
      </c>
      <c r="E107" s="56" t="s">
        <v>101</v>
      </c>
      <c r="F107" s="40">
        <f t="shared" si="1"/>
        <v>0.53526000000000007</v>
      </c>
      <c r="G107" s="45"/>
      <c r="H107" s="58"/>
      <c r="I107" s="125" t="s">
        <v>101</v>
      </c>
      <c r="J107" s="101">
        <f>0.3642</f>
        <v>0.36420000000000002</v>
      </c>
      <c r="K107" s="101">
        <f>0.17112</f>
        <v>0.17111999999999999</v>
      </c>
    </row>
    <row r="108" spans="1:11" ht="14.25" customHeight="1" x14ac:dyDescent="0.25">
      <c r="A108" s="267"/>
      <c r="B108" s="55"/>
      <c r="C108" s="45"/>
      <c r="D108" s="103">
        <f>0.49434+1.0431</f>
        <v>1.5374399999999999</v>
      </c>
      <c r="E108" s="55" t="s">
        <v>105</v>
      </c>
      <c r="F108" s="40">
        <f t="shared" si="1"/>
        <v>1.5374399999999999</v>
      </c>
      <c r="G108" s="45"/>
      <c r="H108" s="58"/>
      <c r="I108" s="125" t="s">
        <v>105</v>
      </c>
      <c r="J108" s="101">
        <v>0.55656000000000005</v>
      </c>
      <c r="K108" s="101">
        <v>0.98087999999999997</v>
      </c>
    </row>
    <row r="109" spans="1:11" ht="12.75" customHeight="1" x14ac:dyDescent="0.25">
      <c r="A109" s="267"/>
      <c r="B109" s="55"/>
      <c r="C109" s="45"/>
      <c r="D109" s="103">
        <v>0.67900000000000005</v>
      </c>
      <c r="E109" s="55" t="s">
        <v>104</v>
      </c>
      <c r="F109" s="40">
        <f t="shared" si="1"/>
        <v>0.67900000000000005</v>
      </c>
      <c r="G109" s="45"/>
      <c r="H109" s="58"/>
      <c r="I109" s="125" t="s">
        <v>104</v>
      </c>
      <c r="J109" s="101">
        <f>0.27645</f>
        <v>0.27644999999999997</v>
      </c>
      <c r="K109" s="101">
        <v>0.40255000000000002</v>
      </c>
    </row>
    <row r="110" spans="1:11" ht="14.25" customHeight="1" x14ac:dyDescent="0.25">
      <c r="A110" s="267"/>
      <c r="B110" s="55"/>
      <c r="C110" s="45"/>
      <c r="D110" s="103">
        <v>0.60192000000000001</v>
      </c>
      <c r="E110" s="55" t="s">
        <v>102</v>
      </c>
      <c r="F110" s="40">
        <f t="shared" si="1"/>
        <v>0.60192000000000001</v>
      </c>
      <c r="G110" s="45"/>
      <c r="H110" s="58"/>
      <c r="I110" s="125" t="s">
        <v>102</v>
      </c>
      <c r="J110" s="101">
        <f>0.49362</f>
        <v>0.49362</v>
      </c>
      <c r="K110" s="101">
        <f>0.1083</f>
        <v>0.10829999999999999</v>
      </c>
    </row>
    <row r="111" spans="1:11" ht="13.5" customHeight="1" x14ac:dyDescent="0.25">
      <c r="A111" s="267"/>
      <c r="B111" s="55"/>
      <c r="C111" s="45"/>
      <c r="D111" s="103">
        <f>1.14+0.2048</f>
        <v>1.3448</v>
      </c>
      <c r="E111" s="55" t="s">
        <v>103</v>
      </c>
      <c r="F111" s="40">
        <f t="shared" si="1"/>
        <v>1.3448</v>
      </c>
      <c r="G111" s="45"/>
      <c r="H111" s="58"/>
      <c r="I111" s="125" t="s">
        <v>103</v>
      </c>
      <c r="J111" s="101">
        <f>0.70412</f>
        <v>0.70411999999999997</v>
      </c>
      <c r="K111" s="101">
        <f>0.64068</f>
        <v>0.64068000000000003</v>
      </c>
    </row>
    <row r="112" spans="1:11" ht="15.75" x14ac:dyDescent="0.25">
      <c r="A112" s="267"/>
      <c r="B112" s="55"/>
      <c r="C112" s="45"/>
      <c r="D112" s="103">
        <v>0.46200000000000002</v>
      </c>
      <c r="E112" s="55" t="s">
        <v>106</v>
      </c>
      <c r="F112" s="40">
        <f t="shared" si="1"/>
        <v>0.46200000000000002</v>
      </c>
      <c r="G112" s="45"/>
      <c r="H112" s="58"/>
      <c r="I112" s="125" t="s">
        <v>106</v>
      </c>
      <c r="J112" s="101">
        <f>0.0462</f>
        <v>4.6199999999999998E-2</v>
      </c>
      <c r="K112" s="101">
        <f>0.4158</f>
        <v>0.4158</v>
      </c>
    </row>
    <row r="113" spans="1:11" ht="45" x14ac:dyDescent="0.25">
      <c r="A113" s="267"/>
      <c r="B113" s="60" t="s">
        <v>110</v>
      </c>
      <c r="C113" s="45"/>
      <c r="D113" s="104">
        <v>1.7</v>
      </c>
      <c r="E113" s="55" t="s">
        <v>114</v>
      </c>
      <c r="F113" s="40">
        <f t="shared" si="1"/>
        <v>1.7</v>
      </c>
      <c r="G113" s="45"/>
      <c r="H113" s="45"/>
      <c r="I113" s="125" t="s">
        <v>136</v>
      </c>
      <c r="J113" s="101">
        <v>0</v>
      </c>
      <c r="K113" s="104">
        <v>1.7</v>
      </c>
    </row>
    <row r="114" spans="1:11" ht="15.75" x14ac:dyDescent="0.25">
      <c r="A114" s="268"/>
      <c r="B114" s="60" t="s">
        <v>129</v>
      </c>
      <c r="C114" s="62">
        <v>14.691000000000001</v>
      </c>
      <c r="D114" s="104"/>
      <c r="E114" s="55"/>
      <c r="F114" s="40">
        <v>14.691000000000001</v>
      </c>
      <c r="G114" s="45"/>
      <c r="H114" s="45"/>
      <c r="I114" s="125"/>
      <c r="J114" s="101"/>
      <c r="K114" s="104">
        <v>14.691000000000001</v>
      </c>
    </row>
    <row r="115" spans="1:11" ht="60" x14ac:dyDescent="0.25">
      <c r="A115" s="270" t="s">
        <v>264</v>
      </c>
      <c r="B115" s="135" t="s">
        <v>129</v>
      </c>
      <c r="C115" s="42">
        <v>18.664999999999999</v>
      </c>
      <c r="D115" s="50"/>
      <c r="E115" s="136"/>
      <c r="F115" s="42">
        <f>C115</f>
        <v>18.664999999999999</v>
      </c>
      <c r="G115" s="136" t="s">
        <v>259</v>
      </c>
      <c r="H115" s="135">
        <v>2.2040000000000002</v>
      </c>
      <c r="I115" s="137"/>
      <c r="J115" s="46"/>
      <c r="K115" s="135">
        <v>2.2040000000000002</v>
      </c>
    </row>
    <row r="116" spans="1:11" ht="75" x14ac:dyDescent="0.25">
      <c r="A116" s="267"/>
      <c r="B116" s="135"/>
      <c r="C116" s="135"/>
      <c r="D116" s="50"/>
      <c r="E116" s="136"/>
      <c r="F116" s="42"/>
      <c r="G116" s="136" t="s">
        <v>260</v>
      </c>
      <c r="H116" s="135">
        <v>17.73</v>
      </c>
      <c r="I116" s="137"/>
      <c r="J116" s="46"/>
      <c r="K116" s="135">
        <v>17.73</v>
      </c>
    </row>
    <row r="117" spans="1:11" ht="30" x14ac:dyDescent="0.25">
      <c r="A117" s="267"/>
      <c r="B117" s="135"/>
      <c r="C117" s="135"/>
      <c r="D117" s="50"/>
      <c r="E117" s="136"/>
      <c r="F117" s="42"/>
      <c r="G117" s="136" t="s">
        <v>261</v>
      </c>
      <c r="H117" s="135">
        <v>11.9</v>
      </c>
      <c r="I117" s="137"/>
      <c r="J117" s="46"/>
      <c r="K117" s="135">
        <v>11.9</v>
      </c>
    </row>
    <row r="118" spans="1:11" ht="30" x14ac:dyDescent="0.25">
      <c r="A118" s="267"/>
      <c r="B118" s="135"/>
      <c r="C118" s="135"/>
      <c r="D118" s="50"/>
      <c r="E118" s="136"/>
      <c r="F118" s="42"/>
      <c r="G118" s="136" t="s">
        <v>262</v>
      </c>
      <c r="H118" s="135">
        <v>4.5</v>
      </c>
      <c r="I118" s="137"/>
      <c r="J118" s="46"/>
      <c r="K118" s="135">
        <v>4.5</v>
      </c>
    </row>
    <row r="119" spans="1:11" ht="30" x14ac:dyDescent="0.25">
      <c r="A119" s="267"/>
      <c r="B119" s="135"/>
      <c r="C119" s="135"/>
      <c r="D119" s="50"/>
      <c r="E119" s="136"/>
      <c r="F119" s="42"/>
      <c r="G119" s="136" t="s">
        <v>263</v>
      </c>
      <c r="H119" s="135">
        <v>3</v>
      </c>
      <c r="I119" s="137"/>
      <c r="J119" s="46"/>
      <c r="K119" s="135">
        <v>3</v>
      </c>
    </row>
    <row r="120" spans="1:11" ht="57.75" x14ac:dyDescent="0.25">
      <c r="A120" s="267"/>
      <c r="B120" s="90" t="s">
        <v>138</v>
      </c>
      <c r="C120" s="1"/>
      <c r="D120" s="92">
        <v>13.105</v>
      </c>
      <c r="E120" s="13" t="s">
        <v>139</v>
      </c>
      <c r="F120" s="42">
        <f t="shared" ref="F120:F129" si="2">D120</f>
        <v>13.105</v>
      </c>
      <c r="G120" s="1"/>
      <c r="H120" s="1"/>
      <c r="I120" s="119" t="s">
        <v>139</v>
      </c>
      <c r="J120" s="101">
        <v>13.105</v>
      </c>
      <c r="K120" s="101">
        <v>0</v>
      </c>
    </row>
    <row r="121" spans="1:11" ht="30" x14ac:dyDescent="0.25">
      <c r="A121" s="267"/>
      <c r="B121" s="1"/>
      <c r="C121" s="1"/>
      <c r="D121" s="92">
        <v>1.5</v>
      </c>
      <c r="E121" s="15" t="s">
        <v>115</v>
      </c>
      <c r="F121" s="42">
        <f t="shared" si="2"/>
        <v>1.5</v>
      </c>
      <c r="G121" s="1"/>
      <c r="H121" s="1"/>
      <c r="I121" s="127" t="s">
        <v>115</v>
      </c>
      <c r="J121" s="92">
        <v>1.5</v>
      </c>
      <c r="K121" s="101">
        <v>0</v>
      </c>
    </row>
    <row r="122" spans="1:11" x14ac:dyDescent="0.25">
      <c r="A122" s="267"/>
      <c r="B122" s="1"/>
      <c r="C122" s="1"/>
      <c r="D122" s="92">
        <v>0.01</v>
      </c>
      <c r="E122" s="15" t="s">
        <v>140</v>
      </c>
      <c r="F122" s="86">
        <f t="shared" si="2"/>
        <v>0.01</v>
      </c>
      <c r="G122" s="1"/>
      <c r="H122" s="1"/>
      <c r="I122" s="127" t="s">
        <v>140</v>
      </c>
      <c r="J122" s="92">
        <v>0.01</v>
      </c>
      <c r="K122" s="101">
        <v>0</v>
      </c>
    </row>
    <row r="123" spans="1:11" ht="30" x14ac:dyDescent="0.25">
      <c r="A123" s="267"/>
      <c r="B123" s="1"/>
      <c r="C123" s="1"/>
      <c r="D123" s="92">
        <v>5.5E-2</v>
      </c>
      <c r="E123" s="15" t="s">
        <v>141</v>
      </c>
      <c r="F123" s="42">
        <f t="shared" si="2"/>
        <v>5.5E-2</v>
      </c>
      <c r="G123" s="1"/>
      <c r="H123" s="1"/>
      <c r="I123" s="127" t="s">
        <v>141</v>
      </c>
      <c r="J123" s="92">
        <v>5.5E-2</v>
      </c>
      <c r="K123" s="101">
        <v>0</v>
      </c>
    </row>
    <row r="124" spans="1:11" x14ac:dyDescent="0.25">
      <c r="A124" s="267"/>
      <c r="B124" s="1"/>
      <c r="C124" s="1"/>
      <c r="D124" s="92">
        <v>0.96</v>
      </c>
      <c r="E124" s="15" t="s">
        <v>41</v>
      </c>
      <c r="F124" s="42">
        <f t="shared" si="2"/>
        <v>0.96</v>
      </c>
      <c r="G124" s="1"/>
      <c r="H124" s="1"/>
      <c r="I124" s="127" t="s">
        <v>41</v>
      </c>
      <c r="J124" s="92">
        <v>0.96</v>
      </c>
      <c r="K124" s="101">
        <v>0</v>
      </c>
    </row>
    <row r="125" spans="1:11" x14ac:dyDescent="0.25">
      <c r="A125" s="267"/>
      <c r="B125" s="1"/>
      <c r="C125" s="1"/>
      <c r="D125" s="92">
        <v>0.96</v>
      </c>
      <c r="E125" s="15" t="s">
        <v>142</v>
      </c>
      <c r="F125" s="42">
        <f t="shared" si="2"/>
        <v>0.96</v>
      </c>
      <c r="G125" s="1"/>
      <c r="H125" s="1"/>
      <c r="I125" s="127" t="s">
        <v>142</v>
      </c>
      <c r="J125" s="92">
        <v>0.96</v>
      </c>
      <c r="K125" s="101">
        <v>0</v>
      </c>
    </row>
    <row r="126" spans="1:11" ht="30" x14ac:dyDescent="0.25">
      <c r="A126" s="267"/>
      <c r="B126" s="1"/>
      <c r="C126" s="1"/>
      <c r="D126" s="92">
        <v>1.75</v>
      </c>
      <c r="E126" s="15" t="s">
        <v>44</v>
      </c>
      <c r="F126" s="42">
        <f t="shared" si="2"/>
        <v>1.75</v>
      </c>
      <c r="G126" s="1"/>
      <c r="H126" s="1"/>
      <c r="I126" s="127" t="s">
        <v>44</v>
      </c>
      <c r="J126" s="92">
        <v>1.75</v>
      </c>
      <c r="K126" s="101">
        <v>0</v>
      </c>
    </row>
    <row r="127" spans="1:11" ht="56.25" x14ac:dyDescent="0.3">
      <c r="A127" s="267"/>
      <c r="B127" s="52" t="s">
        <v>45</v>
      </c>
      <c r="C127" s="1"/>
      <c r="D127" s="92">
        <v>26.299499999999998</v>
      </c>
      <c r="E127" s="55" t="s">
        <v>143</v>
      </c>
      <c r="F127" s="42">
        <f t="shared" si="2"/>
        <v>26.299499999999998</v>
      </c>
      <c r="G127" s="1"/>
      <c r="H127" s="1"/>
      <c r="I127" s="125" t="s">
        <v>143</v>
      </c>
      <c r="J127" s="92">
        <v>26.299499999999998</v>
      </c>
      <c r="K127" s="101">
        <v>0</v>
      </c>
    </row>
    <row r="128" spans="1:11" ht="30" x14ac:dyDescent="0.25">
      <c r="A128" s="267"/>
      <c r="B128" s="91" t="s">
        <v>22</v>
      </c>
      <c r="C128" s="1"/>
      <c r="D128" s="92">
        <v>21.8</v>
      </c>
      <c r="E128" s="13" t="s">
        <v>139</v>
      </c>
      <c r="F128" s="42">
        <f t="shared" si="2"/>
        <v>21.8</v>
      </c>
      <c r="G128" s="1"/>
      <c r="H128" s="1"/>
      <c r="I128" s="119" t="s">
        <v>139</v>
      </c>
      <c r="J128" s="92">
        <v>21.8</v>
      </c>
      <c r="K128" s="101">
        <v>0</v>
      </c>
    </row>
    <row r="129" spans="1:11" x14ac:dyDescent="0.25">
      <c r="A129" s="267"/>
      <c r="B129" s="1"/>
      <c r="C129" s="1"/>
      <c r="D129" s="92">
        <f>0.28+0.14</f>
        <v>0.42000000000000004</v>
      </c>
      <c r="E129" s="15" t="s">
        <v>24</v>
      </c>
      <c r="F129" s="42">
        <f t="shared" si="2"/>
        <v>0.42000000000000004</v>
      </c>
      <c r="G129" s="1"/>
      <c r="H129" s="1"/>
      <c r="I129" s="127" t="s">
        <v>24</v>
      </c>
      <c r="J129" s="92">
        <f>0.28+0.14</f>
        <v>0.42000000000000004</v>
      </c>
      <c r="K129" s="101">
        <v>0</v>
      </c>
    </row>
    <row r="130" spans="1:11" ht="30" x14ac:dyDescent="0.25">
      <c r="A130" s="267"/>
      <c r="B130" s="1"/>
      <c r="C130" s="1"/>
      <c r="D130" s="92">
        <v>0.3</v>
      </c>
      <c r="E130" s="15" t="s">
        <v>144</v>
      </c>
      <c r="F130" s="42">
        <v>0.3</v>
      </c>
      <c r="G130" s="1"/>
      <c r="H130" s="1"/>
      <c r="I130" s="127" t="s">
        <v>144</v>
      </c>
      <c r="J130" s="92">
        <v>0.3</v>
      </c>
      <c r="K130" s="101">
        <v>0</v>
      </c>
    </row>
    <row r="131" spans="1:11" x14ac:dyDescent="0.25">
      <c r="A131" s="267"/>
      <c r="B131" s="1"/>
      <c r="C131" s="1"/>
      <c r="D131" s="92">
        <v>0.57999999999999996</v>
      </c>
      <c r="E131" s="15" t="s">
        <v>145</v>
      </c>
      <c r="F131" s="42">
        <f t="shared" ref="F131:F138" si="3">D131</f>
        <v>0.57999999999999996</v>
      </c>
      <c r="G131" s="1"/>
      <c r="H131" s="1"/>
      <c r="I131" s="127" t="s">
        <v>145</v>
      </c>
      <c r="J131" s="92">
        <v>0.57999999999999996</v>
      </c>
      <c r="K131" s="101">
        <v>0</v>
      </c>
    </row>
    <row r="132" spans="1:11" ht="30" x14ac:dyDescent="0.25">
      <c r="A132" s="267"/>
      <c r="B132" s="1"/>
      <c r="C132" s="1"/>
      <c r="D132" s="92">
        <v>0.28999999999999998</v>
      </c>
      <c r="E132" s="15" t="s">
        <v>147</v>
      </c>
      <c r="F132" s="42">
        <f t="shared" si="3"/>
        <v>0.28999999999999998</v>
      </c>
      <c r="G132" s="1"/>
      <c r="H132" s="1"/>
      <c r="I132" s="127" t="s">
        <v>147</v>
      </c>
      <c r="J132" s="92">
        <v>0.28999999999999998</v>
      </c>
      <c r="K132" s="101">
        <v>0</v>
      </c>
    </row>
    <row r="133" spans="1:11" x14ac:dyDescent="0.25">
      <c r="A133" s="267"/>
      <c r="B133" s="1"/>
      <c r="C133" s="1"/>
      <c r="D133" s="92">
        <v>0.56999999999999995</v>
      </c>
      <c r="E133" s="15" t="s">
        <v>146</v>
      </c>
      <c r="F133" s="42">
        <f t="shared" si="3"/>
        <v>0.56999999999999995</v>
      </c>
      <c r="G133" s="1"/>
      <c r="H133" s="1"/>
      <c r="I133" s="127" t="s">
        <v>146</v>
      </c>
      <c r="J133" s="92">
        <v>0.56999999999999995</v>
      </c>
      <c r="K133" s="101">
        <v>0</v>
      </c>
    </row>
    <row r="134" spans="1:11" ht="30" x14ac:dyDescent="0.25">
      <c r="A134" s="267"/>
      <c r="B134" s="1"/>
      <c r="C134" s="1"/>
      <c r="D134" s="92">
        <v>1.3</v>
      </c>
      <c r="E134" s="15" t="s">
        <v>42</v>
      </c>
      <c r="F134" s="42">
        <f t="shared" si="3"/>
        <v>1.3</v>
      </c>
      <c r="G134" s="1"/>
      <c r="H134" s="1"/>
      <c r="I134" s="127" t="s">
        <v>42</v>
      </c>
      <c r="J134" s="92">
        <v>1.3</v>
      </c>
      <c r="K134" s="101">
        <v>0</v>
      </c>
    </row>
    <row r="135" spans="1:11" x14ac:dyDescent="0.25">
      <c r="A135" s="267"/>
      <c r="B135" s="1"/>
      <c r="C135" s="1"/>
      <c r="D135" s="92">
        <v>0.50800000000000001</v>
      </c>
      <c r="E135" s="15" t="s">
        <v>142</v>
      </c>
      <c r="F135" s="42">
        <f t="shared" si="3"/>
        <v>0.50800000000000001</v>
      </c>
      <c r="G135" s="1"/>
      <c r="H135" s="1"/>
      <c r="I135" s="127" t="s">
        <v>142</v>
      </c>
      <c r="J135" s="92">
        <v>0.50800000000000001</v>
      </c>
      <c r="K135" s="101">
        <v>0</v>
      </c>
    </row>
    <row r="136" spans="1:11" x14ac:dyDescent="0.25">
      <c r="A136" s="267"/>
      <c r="B136" s="1"/>
      <c r="C136" s="1"/>
      <c r="D136" s="92">
        <v>0.56999999999999995</v>
      </c>
      <c r="E136" s="15" t="s">
        <v>142</v>
      </c>
      <c r="F136" s="42">
        <f t="shared" si="3"/>
        <v>0.56999999999999995</v>
      </c>
      <c r="G136" s="1"/>
      <c r="H136" s="1"/>
      <c r="I136" s="127" t="s">
        <v>142</v>
      </c>
      <c r="J136" s="92">
        <v>0.56999999999999995</v>
      </c>
      <c r="K136" s="101">
        <v>0</v>
      </c>
    </row>
    <row r="137" spans="1:11" ht="30" x14ac:dyDescent="0.25">
      <c r="A137" s="267"/>
      <c r="B137" s="1"/>
      <c r="C137" s="1"/>
      <c r="D137" s="92">
        <f>2.328</f>
        <v>2.3279999999999998</v>
      </c>
      <c r="E137" s="15" t="s">
        <v>44</v>
      </c>
      <c r="F137" s="42">
        <f t="shared" si="3"/>
        <v>2.3279999999999998</v>
      </c>
      <c r="G137" s="1"/>
      <c r="H137" s="1"/>
      <c r="I137" s="127" t="s">
        <v>44</v>
      </c>
      <c r="J137" s="92">
        <f>2.328</f>
        <v>2.3279999999999998</v>
      </c>
      <c r="K137" s="101">
        <v>0</v>
      </c>
    </row>
    <row r="138" spans="1:11" ht="75" x14ac:dyDescent="0.3">
      <c r="A138" s="267"/>
      <c r="B138" s="52" t="s">
        <v>47</v>
      </c>
      <c r="C138" s="1"/>
      <c r="D138" s="92">
        <f>4.23046+2.83935</f>
        <v>7.0698100000000004</v>
      </c>
      <c r="E138" s="15" t="s">
        <v>148</v>
      </c>
      <c r="F138" s="42">
        <f t="shared" si="3"/>
        <v>7.0698100000000004</v>
      </c>
      <c r="G138" s="1"/>
      <c r="H138" s="1"/>
      <c r="I138" s="127" t="s">
        <v>148</v>
      </c>
      <c r="J138" s="92">
        <f>2.83935+2.96132</f>
        <v>5.8006700000000002</v>
      </c>
      <c r="K138" s="92">
        <v>1.2691399999999999</v>
      </c>
    </row>
    <row r="139" spans="1:11" x14ac:dyDescent="0.25">
      <c r="A139" s="267"/>
      <c r="B139" s="1"/>
      <c r="C139" s="1"/>
      <c r="D139" s="101">
        <f>4.23624+5.65302</f>
        <v>9.8892600000000002</v>
      </c>
      <c r="E139" s="15" t="s">
        <v>51</v>
      </c>
      <c r="F139" s="42">
        <f>4.23624+5.65302</f>
        <v>9.8892600000000002</v>
      </c>
      <c r="G139" s="1"/>
      <c r="H139" s="1"/>
      <c r="I139" s="127" t="s">
        <v>51</v>
      </c>
      <c r="J139" s="92">
        <f>2.25933+4.23976</f>
        <v>6.4990900000000007</v>
      </c>
      <c r="K139" s="101">
        <f>1.97691+1.41326</f>
        <v>3.3901699999999999</v>
      </c>
    </row>
    <row r="140" spans="1:11" x14ac:dyDescent="0.25">
      <c r="A140" s="267"/>
      <c r="B140" s="1"/>
      <c r="C140" s="1"/>
      <c r="D140" s="92">
        <f>0.07477+0.06414</f>
        <v>0.13891000000000001</v>
      </c>
      <c r="E140" s="15" t="s">
        <v>149</v>
      </c>
      <c r="F140" s="42">
        <f t="shared" ref="F140:F160" si="4">D140</f>
        <v>0.13891000000000001</v>
      </c>
      <c r="G140" s="1"/>
      <c r="H140" s="1"/>
      <c r="I140" s="127" t="s">
        <v>149</v>
      </c>
      <c r="J140" s="92">
        <v>7.4770000000000003E-2</v>
      </c>
      <c r="K140" s="101">
        <f>0.064</f>
        <v>6.4000000000000001E-2</v>
      </c>
    </row>
    <row r="141" spans="1:11" x14ac:dyDescent="0.25">
      <c r="A141" s="267"/>
      <c r="B141" s="1"/>
      <c r="C141" s="1"/>
      <c r="D141" s="92">
        <v>1.917E-2</v>
      </c>
      <c r="E141" s="15" t="s">
        <v>150</v>
      </c>
      <c r="F141" s="42">
        <f t="shared" si="4"/>
        <v>1.917E-2</v>
      </c>
      <c r="G141" s="1"/>
      <c r="H141" s="1"/>
      <c r="I141" s="127" t="s">
        <v>150</v>
      </c>
      <c r="J141" s="92">
        <v>1.917E-2</v>
      </c>
      <c r="K141" s="101">
        <v>0</v>
      </c>
    </row>
    <row r="142" spans="1:11" x14ac:dyDescent="0.25">
      <c r="A142" s="267"/>
      <c r="B142" s="1"/>
      <c r="C142" s="1"/>
      <c r="D142" s="92">
        <v>0.1</v>
      </c>
      <c r="E142" s="15" t="s">
        <v>151</v>
      </c>
      <c r="F142" s="42">
        <f t="shared" si="4"/>
        <v>0.1</v>
      </c>
      <c r="G142" s="1"/>
      <c r="H142" s="1"/>
      <c r="I142" s="127" t="s">
        <v>151</v>
      </c>
      <c r="J142" s="92">
        <v>4.7E-2</v>
      </c>
      <c r="K142" s="101">
        <v>5.2999999999999999E-2</v>
      </c>
    </row>
    <row r="143" spans="1:11" x14ac:dyDescent="0.25">
      <c r="A143" s="267"/>
      <c r="B143" s="1"/>
      <c r="C143" s="1"/>
      <c r="D143" s="92">
        <v>0.11984</v>
      </c>
      <c r="E143" s="15" t="s">
        <v>152</v>
      </c>
      <c r="F143" s="42">
        <f t="shared" si="4"/>
        <v>0.11984</v>
      </c>
      <c r="G143" s="1"/>
      <c r="H143" s="1"/>
      <c r="I143" s="127" t="s">
        <v>152</v>
      </c>
      <c r="J143" s="92">
        <v>0.11984</v>
      </c>
      <c r="K143" s="101">
        <v>0</v>
      </c>
    </row>
    <row r="144" spans="1:11" x14ac:dyDescent="0.25">
      <c r="A144" s="267"/>
      <c r="B144" s="1"/>
      <c r="C144" s="1"/>
      <c r="D144" s="92">
        <v>2.5046599999999999</v>
      </c>
      <c r="E144" s="15" t="s">
        <v>153</v>
      </c>
      <c r="F144" s="42">
        <f t="shared" si="4"/>
        <v>2.5046599999999999</v>
      </c>
      <c r="G144" s="1"/>
      <c r="H144" s="1"/>
      <c r="I144" s="127" t="s">
        <v>153</v>
      </c>
      <c r="J144" s="92">
        <v>2.5046599999999999</v>
      </c>
      <c r="K144" s="101">
        <v>0</v>
      </c>
    </row>
    <row r="145" spans="1:11" x14ac:dyDescent="0.25">
      <c r="A145" s="267"/>
      <c r="B145" s="1"/>
      <c r="C145" s="1"/>
      <c r="D145" s="92">
        <v>1.028</v>
      </c>
      <c r="E145" s="15" t="s">
        <v>108</v>
      </c>
      <c r="F145" s="42">
        <f t="shared" si="4"/>
        <v>1.028</v>
      </c>
      <c r="G145" s="1"/>
      <c r="H145" s="1"/>
      <c r="I145" s="127" t="s">
        <v>108</v>
      </c>
      <c r="J145" s="92">
        <v>0.89949999999999997</v>
      </c>
      <c r="K145" s="101">
        <v>0.1285</v>
      </c>
    </row>
    <row r="146" spans="1:11" x14ac:dyDescent="0.25">
      <c r="A146" s="267"/>
      <c r="B146" s="1"/>
      <c r="C146" s="1"/>
      <c r="D146" s="92">
        <v>2.7653799999999999</v>
      </c>
      <c r="E146" s="15" t="s">
        <v>58</v>
      </c>
      <c r="F146" s="42">
        <f t="shared" si="4"/>
        <v>2.7653799999999999</v>
      </c>
      <c r="G146" s="1"/>
      <c r="H146" s="1"/>
      <c r="I146" s="127" t="s">
        <v>58</v>
      </c>
      <c r="J146" s="92">
        <v>0</v>
      </c>
      <c r="K146" s="92">
        <v>2.7653799999999999</v>
      </c>
    </row>
    <row r="147" spans="1:11" x14ac:dyDescent="0.25">
      <c r="A147" s="267"/>
      <c r="B147" s="1"/>
      <c r="C147" s="1"/>
      <c r="D147" s="92">
        <v>4.1239999999999999E-2</v>
      </c>
      <c r="E147" s="15" t="s">
        <v>154</v>
      </c>
      <c r="F147" s="42">
        <f t="shared" si="4"/>
        <v>4.1239999999999999E-2</v>
      </c>
      <c r="G147" s="1"/>
      <c r="H147" s="1"/>
      <c r="I147" s="127" t="s">
        <v>154</v>
      </c>
      <c r="J147" s="92">
        <v>4.1239999999999999E-2</v>
      </c>
      <c r="K147" s="101">
        <v>0</v>
      </c>
    </row>
    <row r="148" spans="1:11" ht="30" x14ac:dyDescent="0.25">
      <c r="A148" s="267"/>
      <c r="B148" s="1"/>
      <c r="C148" s="1"/>
      <c r="D148" s="92">
        <f>0.30602+0.09416+0.30602+0.32956</f>
        <v>1.03576</v>
      </c>
      <c r="E148" s="15" t="s">
        <v>155</v>
      </c>
      <c r="F148" s="42">
        <f t="shared" si="4"/>
        <v>1.03576</v>
      </c>
      <c r="G148" s="1"/>
      <c r="H148" s="1"/>
      <c r="I148" s="127" t="s">
        <v>155</v>
      </c>
      <c r="J148" s="92">
        <f>0.30602+0.09416+0.30602+0.08239</f>
        <v>0.7885899999999999</v>
      </c>
      <c r="K148" s="101">
        <f>0.24717</f>
        <v>0.24717</v>
      </c>
    </row>
    <row r="149" spans="1:11" x14ac:dyDescent="0.25">
      <c r="A149" s="267"/>
      <c r="B149" s="1"/>
      <c r="C149" s="1"/>
      <c r="D149" s="92">
        <v>6.7140000000000005E-2</v>
      </c>
      <c r="E149" s="15" t="s">
        <v>156</v>
      </c>
      <c r="F149" s="42">
        <f t="shared" si="4"/>
        <v>6.7140000000000005E-2</v>
      </c>
      <c r="G149" s="1"/>
      <c r="H149" s="1"/>
      <c r="I149" s="127" t="s">
        <v>156</v>
      </c>
      <c r="J149" s="92">
        <v>2.6859999999999998E-2</v>
      </c>
      <c r="K149" s="92">
        <v>4.0280000000000003E-2</v>
      </c>
    </row>
    <row r="150" spans="1:11" x14ac:dyDescent="0.25">
      <c r="A150" s="267"/>
      <c r="B150" s="1"/>
      <c r="C150" s="1"/>
      <c r="D150" s="92">
        <f>0.07723+0.13428</f>
        <v>0.21151</v>
      </c>
      <c r="E150" s="15" t="s">
        <v>157</v>
      </c>
      <c r="F150" s="42">
        <f t="shared" si="4"/>
        <v>0.21151</v>
      </c>
      <c r="G150" s="1"/>
      <c r="H150" s="1"/>
      <c r="I150" s="127" t="s">
        <v>157</v>
      </c>
      <c r="J150" s="92">
        <f>0.07723+0.04028</f>
        <v>0.11751</v>
      </c>
      <c r="K150" s="101">
        <f>0.094</f>
        <v>9.4E-2</v>
      </c>
    </row>
    <row r="151" spans="1:11" x14ac:dyDescent="0.25">
      <c r="A151" s="267"/>
      <c r="B151" s="1"/>
      <c r="C151" s="1"/>
      <c r="D151" s="92">
        <f>0.0612+0.0306</f>
        <v>9.1799999999999993E-2</v>
      </c>
      <c r="E151" s="15" t="s">
        <v>109</v>
      </c>
      <c r="F151" s="42">
        <f t="shared" si="4"/>
        <v>9.1799999999999993E-2</v>
      </c>
      <c r="G151" s="1"/>
      <c r="H151" s="1"/>
      <c r="I151" s="127" t="s">
        <v>109</v>
      </c>
      <c r="J151" s="92">
        <f>0.0612+0.01836</f>
        <v>7.9559999999999992E-2</v>
      </c>
      <c r="K151" s="101">
        <f>0.01224</f>
        <v>1.2239999999999999E-2</v>
      </c>
    </row>
    <row r="152" spans="1:11" x14ac:dyDescent="0.25">
      <c r="A152" s="267"/>
      <c r="B152" s="1"/>
      <c r="C152" s="1"/>
      <c r="D152" s="92">
        <f>0.48657+0.51591</f>
        <v>1.00248</v>
      </c>
      <c r="E152" s="15" t="s">
        <v>158</v>
      </c>
      <c r="F152" s="42">
        <f t="shared" si="4"/>
        <v>1.00248</v>
      </c>
      <c r="G152" s="1"/>
      <c r="H152" s="1"/>
      <c r="I152" s="127" t="s">
        <v>158</v>
      </c>
      <c r="J152" s="92">
        <f>0.48657+0.51591</f>
        <v>1.00248</v>
      </c>
      <c r="K152" s="101">
        <v>0</v>
      </c>
    </row>
    <row r="153" spans="1:11" x14ac:dyDescent="0.25">
      <c r="A153" s="267"/>
      <c r="B153" s="1"/>
      <c r="C153" s="1"/>
      <c r="D153" s="92">
        <f>0.11055+0.75799</f>
        <v>0.86854000000000009</v>
      </c>
      <c r="E153" s="15" t="s">
        <v>159</v>
      </c>
      <c r="F153" s="42">
        <f t="shared" si="4"/>
        <v>0.86854000000000009</v>
      </c>
      <c r="G153" s="1"/>
      <c r="H153" s="1"/>
      <c r="I153" s="127" t="s">
        <v>159</v>
      </c>
      <c r="J153" s="92">
        <f>0.11055+0.75799</f>
        <v>0.86854000000000009</v>
      </c>
      <c r="K153" s="101">
        <v>0</v>
      </c>
    </row>
    <row r="154" spans="1:11" x14ac:dyDescent="0.25">
      <c r="A154" s="267"/>
      <c r="B154" s="1"/>
      <c r="C154" s="1"/>
      <c r="D154" s="92">
        <v>15.589130000000001</v>
      </c>
      <c r="E154" s="15" t="s">
        <v>160</v>
      </c>
      <c r="F154" s="42">
        <f t="shared" si="4"/>
        <v>15.589130000000001</v>
      </c>
      <c r="G154" s="1"/>
      <c r="H154" s="1"/>
      <c r="I154" s="127" t="s">
        <v>160</v>
      </c>
      <c r="J154" s="92">
        <v>14.03021</v>
      </c>
      <c r="K154" s="101">
        <v>1.5589200000000001</v>
      </c>
    </row>
    <row r="155" spans="1:11" x14ac:dyDescent="0.25">
      <c r="A155" s="267"/>
      <c r="B155" s="1"/>
      <c r="C155" s="1"/>
      <c r="D155" s="92">
        <f>0.01485+0.04455</f>
        <v>5.9400000000000001E-2</v>
      </c>
      <c r="E155" s="15" t="s">
        <v>62</v>
      </c>
      <c r="F155" s="42">
        <f t="shared" si="4"/>
        <v>5.9400000000000001E-2</v>
      </c>
      <c r="G155" s="1"/>
      <c r="H155" s="1"/>
      <c r="I155" s="127" t="s">
        <v>161</v>
      </c>
      <c r="J155" s="92">
        <f>0.01485+0.0104</f>
        <v>2.5250000000000002E-2</v>
      </c>
      <c r="K155" s="101">
        <v>3.415E-2</v>
      </c>
    </row>
    <row r="156" spans="1:11" x14ac:dyDescent="0.25">
      <c r="A156" s="267"/>
      <c r="B156" s="1"/>
      <c r="C156" s="1"/>
      <c r="D156" s="92">
        <v>0.69474999999999998</v>
      </c>
      <c r="E156" s="15" t="s">
        <v>63</v>
      </c>
      <c r="F156" s="42">
        <f t="shared" si="4"/>
        <v>0.69474999999999998</v>
      </c>
      <c r="G156" s="1"/>
      <c r="H156" s="1"/>
      <c r="I156" s="127" t="s">
        <v>63</v>
      </c>
      <c r="J156" s="92">
        <v>0.69474999999999998</v>
      </c>
      <c r="K156" s="101">
        <v>0</v>
      </c>
    </row>
    <row r="157" spans="1:11" x14ac:dyDescent="0.25">
      <c r="A157" s="267"/>
      <c r="B157" s="1"/>
      <c r="C157" s="1"/>
      <c r="D157" s="92">
        <f>0.05254+0.13134</f>
        <v>0.18388000000000002</v>
      </c>
      <c r="E157" s="15" t="s">
        <v>64</v>
      </c>
      <c r="F157" s="42">
        <f t="shared" si="4"/>
        <v>0.18388000000000002</v>
      </c>
      <c r="G157" s="1"/>
      <c r="H157" s="1"/>
      <c r="I157" s="127" t="s">
        <v>64</v>
      </c>
      <c r="J157" s="92">
        <f>0.05254+0.13134</f>
        <v>0.18388000000000002</v>
      </c>
      <c r="K157" s="101">
        <v>0</v>
      </c>
    </row>
    <row r="158" spans="1:11" x14ac:dyDescent="0.25">
      <c r="A158" s="267"/>
      <c r="B158" s="1"/>
      <c r="C158" s="1"/>
      <c r="D158" s="92">
        <v>1.8679999999999999E-2</v>
      </c>
      <c r="E158" s="15" t="s">
        <v>162</v>
      </c>
      <c r="F158" s="42">
        <f t="shared" si="4"/>
        <v>1.8679999999999999E-2</v>
      </c>
      <c r="G158" s="1"/>
      <c r="H158" s="1"/>
      <c r="I158" s="127" t="s">
        <v>162</v>
      </c>
      <c r="J158" s="92">
        <v>0</v>
      </c>
      <c r="K158" s="101">
        <v>1.8679999999999999E-2</v>
      </c>
    </row>
    <row r="159" spans="1:11" x14ac:dyDescent="0.25">
      <c r="A159" s="267"/>
      <c r="B159" s="1"/>
      <c r="C159" s="1"/>
      <c r="D159" s="92">
        <v>0.88500000000000001</v>
      </c>
      <c r="E159" s="15" t="s">
        <v>163</v>
      </c>
      <c r="F159" s="42">
        <f t="shared" si="4"/>
        <v>0.88500000000000001</v>
      </c>
      <c r="G159" s="1"/>
      <c r="H159" s="1"/>
      <c r="I159" s="127" t="s">
        <v>163</v>
      </c>
      <c r="J159" s="92">
        <v>0.88500000000000001</v>
      </c>
      <c r="K159" s="101">
        <v>0</v>
      </c>
    </row>
    <row r="160" spans="1:11" x14ac:dyDescent="0.25">
      <c r="A160" s="267"/>
      <c r="B160" s="1"/>
      <c r="C160" s="1"/>
      <c r="D160" s="92">
        <v>0.1095</v>
      </c>
      <c r="E160" s="15" t="s">
        <v>164</v>
      </c>
      <c r="F160" s="42">
        <f t="shared" si="4"/>
        <v>0.1095</v>
      </c>
      <c r="G160" s="1"/>
      <c r="H160" s="1"/>
      <c r="I160" s="127" t="s">
        <v>164</v>
      </c>
      <c r="J160" s="92">
        <v>6.5699999999999995E-2</v>
      </c>
      <c r="K160" s="101">
        <v>4.3799999999999999E-2</v>
      </c>
    </row>
    <row r="161" spans="1:11" x14ac:dyDescent="0.25">
      <c r="A161" s="267"/>
      <c r="B161" s="1"/>
      <c r="C161" s="1"/>
      <c r="D161" s="92">
        <f>0.54236</f>
        <v>0.54235999999999995</v>
      </c>
      <c r="E161" s="15" t="s">
        <v>165</v>
      </c>
      <c r="F161" s="42">
        <v>0.54235999999999995</v>
      </c>
      <c r="G161" s="1"/>
      <c r="H161" s="1"/>
      <c r="I161" s="127" t="s">
        <v>165</v>
      </c>
      <c r="J161" s="92">
        <v>0.32768000000000003</v>
      </c>
      <c r="K161" s="101">
        <v>0.21468000000000001</v>
      </c>
    </row>
    <row r="162" spans="1:11" x14ac:dyDescent="0.25">
      <c r="A162" s="267"/>
      <c r="B162" s="1"/>
      <c r="C162" s="1"/>
      <c r="D162" s="92">
        <v>0.32250000000000001</v>
      </c>
      <c r="E162" s="15" t="s">
        <v>166</v>
      </c>
      <c r="F162" s="42">
        <f t="shared" ref="F162:F187" si="5">D162</f>
        <v>0.32250000000000001</v>
      </c>
      <c r="G162" s="1"/>
      <c r="H162" s="1"/>
      <c r="I162" s="127" t="s">
        <v>166</v>
      </c>
      <c r="J162" s="101">
        <v>0.32250000000000001</v>
      </c>
      <c r="K162" s="101">
        <v>0</v>
      </c>
    </row>
    <row r="163" spans="1:11" x14ac:dyDescent="0.25">
      <c r="A163" s="267"/>
      <c r="B163" s="1"/>
      <c r="C163" s="1"/>
      <c r="D163" s="92">
        <f>0.72866+0.58294</f>
        <v>1.3115999999999999</v>
      </c>
      <c r="E163" s="15" t="s">
        <v>69</v>
      </c>
      <c r="F163" s="42">
        <f t="shared" si="5"/>
        <v>1.3115999999999999</v>
      </c>
      <c r="G163" s="1"/>
      <c r="H163" s="1"/>
      <c r="I163" s="127" t="s">
        <v>69</v>
      </c>
      <c r="J163" s="92">
        <f>0.72866+0.32255</f>
        <v>1.05121</v>
      </c>
      <c r="K163" s="101">
        <v>0.26039000000000001</v>
      </c>
    </row>
    <row r="164" spans="1:11" x14ac:dyDescent="0.25">
      <c r="A164" s="267"/>
      <c r="B164" s="1"/>
      <c r="C164" s="1"/>
      <c r="D164" s="92">
        <v>0.21185999999999999</v>
      </c>
      <c r="E164" s="15" t="s">
        <v>167</v>
      </c>
      <c r="F164" s="42">
        <f t="shared" si="5"/>
        <v>0.21185999999999999</v>
      </c>
      <c r="G164" s="1"/>
      <c r="H164" s="1"/>
      <c r="I164" s="127" t="s">
        <v>167</v>
      </c>
      <c r="J164" s="92">
        <v>0.21185999999999999</v>
      </c>
      <c r="K164" s="101">
        <v>0</v>
      </c>
    </row>
    <row r="165" spans="1:11" ht="30" x14ac:dyDescent="0.25">
      <c r="A165" s="267"/>
      <c r="B165" s="1"/>
      <c r="C165" s="1"/>
      <c r="D165" s="92">
        <v>0.24890000000000001</v>
      </c>
      <c r="E165" s="15" t="s">
        <v>168</v>
      </c>
      <c r="F165" s="42">
        <f t="shared" si="5"/>
        <v>0.24890000000000001</v>
      </c>
      <c r="G165" s="1"/>
      <c r="H165" s="1"/>
      <c r="I165" s="127" t="s">
        <v>168</v>
      </c>
      <c r="J165" s="92">
        <v>0</v>
      </c>
      <c r="K165" s="101">
        <v>0.24890000000000001</v>
      </c>
    </row>
    <row r="166" spans="1:11" x14ac:dyDescent="0.25">
      <c r="A166" s="267"/>
      <c r="B166" s="1"/>
      <c r="C166" s="1"/>
      <c r="D166" s="92">
        <v>0.75600000000000001</v>
      </c>
      <c r="E166" s="15" t="s">
        <v>70</v>
      </c>
      <c r="F166" s="42">
        <f t="shared" si="5"/>
        <v>0.75600000000000001</v>
      </c>
      <c r="G166" s="1"/>
      <c r="H166" s="1"/>
      <c r="I166" s="127" t="s">
        <v>70</v>
      </c>
      <c r="J166" s="92">
        <v>0.75600000000000001</v>
      </c>
      <c r="K166" s="101">
        <v>0</v>
      </c>
    </row>
    <row r="167" spans="1:11" ht="30" x14ac:dyDescent="0.25">
      <c r="A167" s="267"/>
      <c r="B167" s="1"/>
      <c r="C167" s="1"/>
      <c r="D167" s="92">
        <v>0.21801999999999999</v>
      </c>
      <c r="E167" s="15" t="s">
        <v>169</v>
      </c>
      <c r="F167" s="42">
        <f t="shared" si="5"/>
        <v>0.21801999999999999</v>
      </c>
      <c r="G167" s="1"/>
      <c r="H167" s="1"/>
      <c r="I167" s="127" t="s">
        <v>169</v>
      </c>
      <c r="J167" s="92">
        <v>6.5409999999999996E-2</v>
      </c>
      <c r="K167" s="101">
        <v>0.15261</v>
      </c>
    </row>
    <row r="168" spans="1:11" ht="30" x14ac:dyDescent="0.25">
      <c r="A168" s="267"/>
      <c r="B168" s="1"/>
      <c r="C168" s="1"/>
      <c r="D168" s="92">
        <v>2.34572</v>
      </c>
      <c r="E168" s="15" t="s">
        <v>170</v>
      </c>
      <c r="F168" s="42">
        <f t="shared" si="5"/>
        <v>2.34572</v>
      </c>
      <c r="G168" s="1"/>
      <c r="H168" s="1"/>
      <c r="I168" s="127" t="s">
        <v>170</v>
      </c>
      <c r="J168" s="92">
        <v>1.17286</v>
      </c>
      <c r="K168" s="101">
        <v>1.17286</v>
      </c>
    </row>
    <row r="169" spans="1:11" x14ac:dyDescent="0.25">
      <c r="A169" s="267"/>
      <c r="B169" s="1"/>
      <c r="C169" s="1"/>
      <c r="D169" s="92">
        <v>5.6599999999999998E-2</v>
      </c>
      <c r="E169" s="15" t="s">
        <v>171</v>
      </c>
      <c r="F169" s="42">
        <f t="shared" si="5"/>
        <v>5.6599999999999998E-2</v>
      </c>
      <c r="G169" s="1"/>
      <c r="H169" s="1"/>
      <c r="I169" s="127" t="s">
        <v>171</v>
      </c>
      <c r="J169" s="92">
        <f>D169</f>
        <v>5.6599999999999998E-2</v>
      </c>
      <c r="K169" s="101">
        <v>0</v>
      </c>
    </row>
    <row r="170" spans="1:11" ht="30" x14ac:dyDescent="0.25">
      <c r="A170" s="267"/>
      <c r="B170" s="1"/>
      <c r="C170" s="1"/>
      <c r="D170" s="92">
        <f>3.61574+0.80357+0.7062</f>
        <v>5.1255100000000002</v>
      </c>
      <c r="E170" s="15" t="s">
        <v>172</v>
      </c>
      <c r="F170" s="93">
        <f t="shared" si="5"/>
        <v>5.1255100000000002</v>
      </c>
      <c r="G170" s="1"/>
      <c r="H170" s="1"/>
      <c r="I170" s="127" t="s">
        <v>172</v>
      </c>
      <c r="J170" s="92">
        <v>5.1260000000000003</v>
      </c>
      <c r="K170" s="92">
        <v>0</v>
      </c>
    </row>
    <row r="171" spans="1:11" x14ac:dyDescent="0.25">
      <c r="A171" s="267"/>
      <c r="B171" s="1"/>
      <c r="C171" s="1"/>
      <c r="D171" s="92">
        <v>0.84545999999999999</v>
      </c>
      <c r="E171" s="1" t="s">
        <v>173</v>
      </c>
      <c r="F171" s="93">
        <f t="shared" si="5"/>
        <v>0.84545999999999999</v>
      </c>
      <c r="G171" s="1"/>
      <c r="H171" s="1"/>
      <c r="I171" s="128" t="s">
        <v>173</v>
      </c>
      <c r="J171" s="92">
        <v>0.84545999999999999</v>
      </c>
      <c r="K171" s="92">
        <v>0</v>
      </c>
    </row>
    <row r="172" spans="1:11" x14ac:dyDescent="0.25">
      <c r="A172" s="267"/>
      <c r="B172" s="1"/>
      <c r="C172" s="1"/>
      <c r="D172" s="92">
        <v>6.0389999999999999E-2</v>
      </c>
      <c r="E172" s="1" t="s">
        <v>174</v>
      </c>
      <c r="F172" s="93">
        <f t="shared" si="5"/>
        <v>6.0389999999999999E-2</v>
      </c>
      <c r="G172" s="1"/>
      <c r="H172" s="1"/>
      <c r="I172" s="128" t="s">
        <v>174</v>
      </c>
      <c r="J172" s="92">
        <v>6.0389999999999999E-2</v>
      </c>
      <c r="K172" s="92">
        <v>0</v>
      </c>
    </row>
    <row r="173" spans="1:11" x14ac:dyDescent="0.25">
      <c r="A173" s="267"/>
      <c r="B173" s="1"/>
      <c r="C173" s="1"/>
      <c r="D173" s="92">
        <v>13.696730000000001</v>
      </c>
      <c r="E173" s="1" t="s">
        <v>77</v>
      </c>
      <c r="F173" s="93">
        <f t="shared" si="5"/>
        <v>13.696730000000001</v>
      </c>
      <c r="G173" s="1"/>
      <c r="H173" s="1"/>
      <c r="I173" s="128" t="s">
        <v>77</v>
      </c>
      <c r="J173" s="92">
        <v>13.13743</v>
      </c>
      <c r="K173" s="92">
        <v>0.55930000000000002</v>
      </c>
    </row>
    <row r="174" spans="1:11" ht="30" x14ac:dyDescent="0.25">
      <c r="A174" s="267"/>
      <c r="B174" s="1"/>
      <c r="C174" s="1"/>
      <c r="D174" s="92">
        <v>0.45902999999999999</v>
      </c>
      <c r="E174" s="15" t="s">
        <v>175</v>
      </c>
      <c r="F174" s="93">
        <f t="shared" si="5"/>
        <v>0.45902999999999999</v>
      </c>
      <c r="G174" s="1"/>
      <c r="H174" s="1"/>
      <c r="I174" s="127" t="s">
        <v>175</v>
      </c>
      <c r="J174" s="92">
        <v>0.35310000000000002</v>
      </c>
      <c r="K174" s="92">
        <v>0.10593</v>
      </c>
    </row>
    <row r="175" spans="1:11" ht="30" x14ac:dyDescent="0.25">
      <c r="A175" s="267"/>
      <c r="B175" s="1"/>
      <c r="C175" s="1"/>
      <c r="D175" s="92">
        <f>0.07918+0.07918+0.07233</f>
        <v>0.23069000000000001</v>
      </c>
      <c r="E175" s="15" t="s">
        <v>176</v>
      </c>
      <c r="F175" s="93">
        <f t="shared" si="5"/>
        <v>0.23069000000000001</v>
      </c>
      <c r="G175" s="1"/>
      <c r="H175" s="1"/>
      <c r="I175" s="127" t="s">
        <v>176</v>
      </c>
      <c r="J175" s="92">
        <v>0.18184</v>
      </c>
      <c r="K175" s="92">
        <v>4.8849999999999998E-2</v>
      </c>
    </row>
    <row r="176" spans="1:11" ht="30" x14ac:dyDescent="0.25">
      <c r="A176" s="267"/>
      <c r="B176" s="1"/>
      <c r="C176" s="1"/>
      <c r="D176" s="92">
        <v>5.2639999999999999E-2</v>
      </c>
      <c r="E176" s="15" t="s">
        <v>177</v>
      </c>
      <c r="F176" s="93">
        <f t="shared" si="5"/>
        <v>5.2639999999999999E-2</v>
      </c>
      <c r="G176" s="1"/>
      <c r="H176" s="1"/>
      <c r="I176" s="127" t="s">
        <v>177</v>
      </c>
      <c r="J176" s="92">
        <v>5.2639999999999999E-2</v>
      </c>
      <c r="K176" s="92">
        <v>0</v>
      </c>
    </row>
    <row r="177" spans="1:11" x14ac:dyDescent="0.25">
      <c r="A177" s="267"/>
      <c r="B177" s="1"/>
      <c r="C177" s="1"/>
      <c r="D177" s="92">
        <v>0.20127</v>
      </c>
      <c r="E177" s="1" t="s">
        <v>178</v>
      </c>
      <c r="F177" s="93">
        <f t="shared" si="5"/>
        <v>0.20127</v>
      </c>
      <c r="G177" s="1"/>
      <c r="H177" s="1"/>
      <c r="I177" s="128" t="s">
        <v>178</v>
      </c>
      <c r="J177" s="92">
        <v>0.20127</v>
      </c>
      <c r="K177" s="92">
        <v>0</v>
      </c>
    </row>
    <row r="178" spans="1:11" x14ac:dyDescent="0.25">
      <c r="A178" s="267"/>
      <c r="B178" s="1"/>
      <c r="C178" s="1"/>
      <c r="D178" s="92">
        <v>0.21929999999999999</v>
      </c>
      <c r="E178" s="1" t="s">
        <v>179</v>
      </c>
      <c r="F178" s="93">
        <f t="shared" si="5"/>
        <v>0.21929999999999999</v>
      </c>
      <c r="G178" s="1"/>
      <c r="H178" s="1"/>
      <c r="I178" s="128" t="s">
        <v>179</v>
      </c>
      <c r="J178" s="92">
        <v>0.11609999999999999</v>
      </c>
      <c r="K178" s="92">
        <v>0.1032</v>
      </c>
    </row>
    <row r="179" spans="1:11" x14ac:dyDescent="0.25">
      <c r="A179" s="267"/>
      <c r="B179" s="1"/>
      <c r="C179" s="1"/>
      <c r="D179" s="92">
        <f>0.222+1.4589</f>
        <v>1.6809000000000001</v>
      </c>
      <c r="E179" s="1" t="s">
        <v>180</v>
      </c>
      <c r="F179" s="93">
        <f t="shared" si="5"/>
        <v>1.6809000000000001</v>
      </c>
      <c r="G179" s="1"/>
      <c r="H179" s="1"/>
      <c r="I179" s="128" t="s">
        <v>180</v>
      </c>
      <c r="J179" s="92">
        <v>1.1297600000000001</v>
      </c>
      <c r="K179" s="92">
        <v>0.55113999999999996</v>
      </c>
    </row>
    <row r="180" spans="1:11" x14ac:dyDescent="0.25">
      <c r="A180" s="267"/>
      <c r="B180" s="1"/>
      <c r="C180" s="1"/>
      <c r="D180" s="92">
        <v>0.2064</v>
      </c>
      <c r="E180" s="1" t="s">
        <v>181</v>
      </c>
      <c r="F180" s="93">
        <f t="shared" si="5"/>
        <v>0.2064</v>
      </c>
      <c r="G180" s="1"/>
      <c r="H180" s="1"/>
      <c r="I180" s="128" t="s">
        <v>181</v>
      </c>
      <c r="J180" s="92">
        <v>0.2064</v>
      </c>
      <c r="K180" s="92">
        <v>0</v>
      </c>
    </row>
    <row r="181" spans="1:11" x14ac:dyDescent="0.25">
      <c r="A181" s="267"/>
      <c r="B181" s="1"/>
      <c r="C181" s="1"/>
      <c r="D181" s="92">
        <v>10.098660000000001</v>
      </c>
      <c r="E181" s="1" t="s">
        <v>182</v>
      </c>
      <c r="F181" s="93">
        <f t="shared" si="5"/>
        <v>10.098660000000001</v>
      </c>
      <c r="G181" s="1"/>
      <c r="H181" s="1"/>
      <c r="I181" s="128" t="s">
        <v>182</v>
      </c>
      <c r="J181" s="92">
        <v>10.098660000000001</v>
      </c>
      <c r="K181" s="92">
        <v>0</v>
      </c>
    </row>
    <row r="182" spans="1:11" x14ac:dyDescent="0.25">
      <c r="A182" s="267"/>
      <c r="B182" s="1"/>
      <c r="C182" s="1"/>
      <c r="D182" s="92">
        <f>2.33046+8.70039</f>
        <v>11.030850000000001</v>
      </c>
      <c r="E182" s="1" t="s">
        <v>89</v>
      </c>
      <c r="F182" s="93">
        <f t="shared" si="5"/>
        <v>11.030850000000001</v>
      </c>
      <c r="G182" s="1"/>
      <c r="H182" s="1"/>
      <c r="I182" s="128" t="s">
        <v>89</v>
      </c>
      <c r="J182" s="92">
        <v>9.6731499999999997</v>
      </c>
      <c r="K182" s="92">
        <v>1.3577900000000001</v>
      </c>
    </row>
    <row r="183" spans="1:11" ht="45" x14ac:dyDescent="0.25">
      <c r="A183" s="267"/>
      <c r="B183" s="1"/>
      <c r="C183" s="1"/>
      <c r="D183" s="92">
        <v>0.73028000000000004</v>
      </c>
      <c r="E183" s="15" t="s">
        <v>183</v>
      </c>
      <c r="F183" s="93">
        <f t="shared" si="5"/>
        <v>0.73028000000000004</v>
      </c>
      <c r="G183" s="1"/>
      <c r="H183" s="1"/>
      <c r="I183" s="127" t="s">
        <v>184</v>
      </c>
      <c r="J183" s="92">
        <v>0.73028000000000004</v>
      </c>
      <c r="K183" s="92">
        <v>0</v>
      </c>
    </row>
    <row r="184" spans="1:11" ht="45" x14ac:dyDescent="0.25">
      <c r="A184" s="267"/>
      <c r="B184" s="1"/>
      <c r="C184" s="1"/>
      <c r="D184" s="92">
        <v>2.4039999999999999</v>
      </c>
      <c r="E184" s="15" t="s">
        <v>185</v>
      </c>
      <c r="F184" s="94">
        <f t="shared" si="5"/>
        <v>2.4039999999999999</v>
      </c>
      <c r="G184" s="1"/>
      <c r="H184" s="1"/>
      <c r="I184" s="127" t="s">
        <v>185</v>
      </c>
      <c r="J184" s="92">
        <v>2.4039999999999999</v>
      </c>
      <c r="K184" s="92">
        <v>0</v>
      </c>
    </row>
    <row r="185" spans="1:11" ht="45" x14ac:dyDescent="0.25">
      <c r="A185" s="267"/>
      <c r="B185" s="1"/>
      <c r="C185" s="1"/>
      <c r="D185" s="92">
        <v>4.0868000000000002</v>
      </c>
      <c r="E185" s="15" t="s">
        <v>186</v>
      </c>
      <c r="F185" s="93">
        <f t="shared" si="5"/>
        <v>4.0868000000000002</v>
      </c>
      <c r="G185" s="1"/>
      <c r="H185" s="1"/>
      <c r="I185" s="127" t="s">
        <v>186</v>
      </c>
      <c r="J185" s="92">
        <v>2.99899</v>
      </c>
      <c r="K185" s="92">
        <v>1.0878099999999999</v>
      </c>
    </row>
    <row r="186" spans="1:11" ht="45" x14ac:dyDescent="0.25">
      <c r="A186" s="267"/>
      <c r="B186" s="1"/>
      <c r="C186" s="1"/>
      <c r="D186" s="92">
        <v>4.3272000000000004</v>
      </c>
      <c r="E186" s="15" t="s">
        <v>204</v>
      </c>
      <c r="F186" s="93">
        <f t="shared" si="5"/>
        <v>4.3272000000000004</v>
      </c>
      <c r="G186" s="1"/>
      <c r="H186" s="1"/>
      <c r="I186" s="127" t="s">
        <v>186</v>
      </c>
      <c r="J186" s="92">
        <v>1.3823000000000001</v>
      </c>
      <c r="K186" s="92">
        <v>2.9449000000000001</v>
      </c>
    </row>
    <row r="187" spans="1:11" ht="45" x14ac:dyDescent="0.25">
      <c r="A187" s="267"/>
      <c r="B187" s="1"/>
      <c r="C187" s="1"/>
      <c r="D187" s="92">
        <v>3.3054999999999999</v>
      </c>
      <c r="E187" s="15" t="s">
        <v>205</v>
      </c>
      <c r="F187" s="93">
        <f t="shared" si="5"/>
        <v>3.3054999999999999</v>
      </c>
      <c r="G187" s="1"/>
      <c r="H187" s="1"/>
      <c r="I187" s="127" t="s">
        <v>205</v>
      </c>
      <c r="J187" s="92">
        <v>3.3054999999999999</v>
      </c>
      <c r="K187" s="92">
        <v>0</v>
      </c>
    </row>
    <row r="188" spans="1:11" x14ac:dyDescent="0.25">
      <c r="A188" s="267"/>
      <c r="B188" s="1"/>
      <c r="C188" s="1"/>
      <c r="D188" s="92">
        <v>2.3210199999999999</v>
      </c>
      <c r="E188" s="15" t="s">
        <v>187</v>
      </c>
      <c r="F188" s="93">
        <v>2.3210199999999999</v>
      </c>
      <c r="G188" s="1"/>
      <c r="H188" s="1"/>
      <c r="I188" s="127" t="s">
        <v>187</v>
      </c>
      <c r="J188" s="92">
        <v>2.3210199999999999</v>
      </c>
      <c r="K188" s="92">
        <v>0</v>
      </c>
    </row>
    <row r="189" spans="1:11" x14ac:dyDescent="0.25">
      <c r="A189" s="267"/>
      <c r="B189" s="1"/>
      <c r="C189" s="1"/>
      <c r="D189" s="92">
        <v>1.7351300000000001</v>
      </c>
      <c r="E189" s="15" t="s">
        <v>188</v>
      </c>
      <c r="F189" s="93">
        <f t="shared" ref="F189:F195" si="6">D189</f>
        <v>1.7351300000000001</v>
      </c>
      <c r="G189" s="1"/>
      <c r="H189" s="1"/>
      <c r="I189" s="127" t="s">
        <v>188</v>
      </c>
      <c r="J189" s="92">
        <v>1.7351300000000001</v>
      </c>
      <c r="K189" s="92">
        <v>0</v>
      </c>
    </row>
    <row r="190" spans="1:11" x14ac:dyDescent="0.25">
      <c r="A190" s="267"/>
      <c r="B190" s="1"/>
      <c r="C190" s="1"/>
      <c r="D190" s="92">
        <f>0.8113+1.38886+0.13968</f>
        <v>2.3398399999999997</v>
      </c>
      <c r="E190" s="15" t="s">
        <v>91</v>
      </c>
      <c r="F190" s="93">
        <f t="shared" si="6"/>
        <v>2.3398399999999997</v>
      </c>
      <c r="G190" s="1"/>
      <c r="H190" s="1"/>
      <c r="I190" s="127" t="s">
        <v>91</v>
      </c>
      <c r="J190" s="92">
        <f>0.8113+1.38886+0.13968</f>
        <v>2.3398399999999997</v>
      </c>
      <c r="K190" s="92">
        <v>0</v>
      </c>
    </row>
    <row r="191" spans="1:11" ht="30" x14ac:dyDescent="0.25">
      <c r="A191" s="267"/>
      <c r="B191" s="1"/>
      <c r="C191" s="1"/>
      <c r="D191" s="92">
        <v>1.83538</v>
      </c>
      <c r="E191" s="15" t="s">
        <v>189</v>
      </c>
      <c r="F191" s="93">
        <f t="shared" si="6"/>
        <v>1.83538</v>
      </c>
      <c r="G191" s="1"/>
      <c r="H191" s="1"/>
      <c r="I191" s="127" t="s">
        <v>189</v>
      </c>
      <c r="J191" s="92">
        <v>0</v>
      </c>
      <c r="K191" s="92">
        <v>1.83538</v>
      </c>
    </row>
    <row r="192" spans="1:11" x14ac:dyDescent="0.25">
      <c r="A192" s="267"/>
      <c r="B192" s="1"/>
      <c r="C192" s="1"/>
      <c r="D192" s="92">
        <v>0.48992999999999998</v>
      </c>
      <c r="E192" s="15" t="s">
        <v>197</v>
      </c>
      <c r="F192" s="93">
        <f t="shared" si="6"/>
        <v>0.48992999999999998</v>
      </c>
      <c r="G192" s="1"/>
      <c r="H192" s="1"/>
      <c r="I192" s="127" t="s">
        <v>197</v>
      </c>
      <c r="J192" s="92">
        <v>0.48992999999999998</v>
      </c>
      <c r="K192" s="92">
        <v>0</v>
      </c>
    </row>
    <row r="193" spans="1:11" x14ac:dyDescent="0.25">
      <c r="A193" s="267"/>
      <c r="B193" s="1"/>
      <c r="C193" s="1"/>
      <c r="D193" s="92">
        <v>6.7630299999999997</v>
      </c>
      <c r="E193" s="15" t="s">
        <v>190</v>
      </c>
      <c r="F193" s="93">
        <f t="shared" si="6"/>
        <v>6.7630299999999997</v>
      </c>
      <c r="G193" s="1"/>
      <c r="H193" s="1"/>
      <c r="I193" s="127" t="s">
        <v>190</v>
      </c>
      <c r="J193" s="92">
        <v>6.7630299999999997</v>
      </c>
      <c r="K193" s="92">
        <v>0</v>
      </c>
    </row>
    <row r="194" spans="1:11" x14ac:dyDescent="0.25">
      <c r="A194" s="267"/>
      <c r="B194" s="1"/>
      <c r="C194" s="1"/>
      <c r="D194" s="92">
        <v>0.19155</v>
      </c>
      <c r="E194" s="15" t="s">
        <v>191</v>
      </c>
      <c r="F194" s="93">
        <f t="shared" si="6"/>
        <v>0.19155</v>
      </c>
      <c r="G194" s="1"/>
      <c r="H194" s="1"/>
      <c r="I194" s="127" t="s">
        <v>191</v>
      </c>
      <c r="J194" s="92">
        <v>0.16206999999999999</v>
      </c>
      <c r="K194" s="92">
        <v>2.9479999999999999E-2</v>
      </c>
    </row>
    <row r="195" spans="1:11" x14ac:dyDescent="0.25">
      <c r="A195" s="267"/>
      <c r="B195" s="1"/>
      <c r="C195" s="1"/>
      <c r="D195" s="92">
        <v>0.47499999999999998</v>
      </c>
      <c r="E195" s="15" t="s">
        <v>192</v>
      </c>
      <c r="F195" s="93">
        <f t="shared" si="6"/>
        <v>0.47499999999999998</v>
      </c>
      <c r="G195" s="1"/>
      <c r="H195" s="1"/>
      <c r="I195" s="127" t="s">
        <v>192</v>
      </c>
      <c r="J195" s="92">
        <v>0.33250000000000002</v>
      </c>
      <c r="K195" s="92">
        <v>0.14249999999999999</v>
      </c>
    </row>
    <row r="196" spans="1:11" x14ac:dyDescent="0.25">
      <c r="A196" s="267"/>
      <c r="B196" s="1"/>
      <c r="C196" s="1"/>
      <c r="D196" s="92">
        <v>0.68240000000000001</v>
      </c>
      <c r="E196" s="15" t="s">
        <v>193</v>
      </c>
      <c r="F196" s="93">
        <v>0.68240000000000001</v>
      </c>
      <c r="G196" s="1"/>
      <c r="H196" s="1"/>
      <c r="I196" s="127" t="s">
        <v>193</v>
      </c>
      <c r="J196" s="92">
        <v>0.68240000000000001</v>
      </c>
      <c r="K196" s="92">
        <v>0</v>
      </c>
    </row>
    <row r="197" spans="1:11" x14ac:dyDescent="0.25">
      <c r="A197" s="267"/>
      <c r="B197" s="1"/>
      <c r="C197" s="1"/>
      <c r="D197" s="92">
        <f>1.27459+0.79662</f>
        <v>2.0712099999999998</v>
      </c>
      <c r="E197" s="15" t="s">
        <v>194</v>
      </c>
      <c r="F197" s="93">
        <f t="shared" ref="F197:F206" si="7">D197</f>
        <v>2.0712099999999998</v>
      </c>
      <c r="G197" s="1"/>
      <c r="H197" s="1"/>
      <c r="I197" s="127" t="s">
        <v>194</v>
      </c>
      <c r="J197" s="92">
        <v>1.4976499999999999</v>
      </c>
      <c r="K197" s="92">
        <v>0.57355999999999996</v>
      </c>
    </row>
    <row r="198" spans="1:11" x14ac:dyDescent="0.25">
      <c r="A198" s="267"/>
      <c r="B198" s="1"/>
      <c r="C198" s="1"/>
      <c r="D198" s="92">
        <v>0.68240000000000001</v>
      </c>
      <c r="E198" s="15" t="s">
        <v>195</v>
      </c>
      <c r="F198" s="93">
        <f t="shared" si="7"/>
        <v>0.68240000000000001</v>
      </c>
      <c r="G198" s="1"/>
      <c r="H198" s="1"/>
      <c r="I198" s="127" t="s">
        <v>195</v>
      </c>
      <c r="J198" s="92">
        <v>0.68240000000000001</v>
      </c>
      <c r="K198" s="92">
        <v>0</v>
      </c>
    </row>
    <row r="199" spans="1:11" x14ac:dyDescent="0.25">
      <c r="A199" s="267"/>
      <c r="B199" s="1"/>
      <c r="C199" s="1"/>
      <c r="D199" s="92">
        <f>1.32134+1.32734</f>
        <v>2.6486799999999997</v>
      </c>
      <c r="E199" s="15" t="s">
        <v>196</v>
      </c>
      <c r="F199" s="93">
        <f t="shared" si="7"/>
        <v>2.6486799999999997</v>
      </c>
      <c r="G199" s="1"/>
      <c r="H199" s="1"/>
      <c r="I199" s="127" t="s">
        <v>196</v>
      </c>
      <c r="J199" s="92">
        <v>0.39639999999999997</v>
      </c>
      <c r="K199" s="92">
        <v>2.2522799999999998</v>
      </c>
    </row>
    <row r="200" spans="1:11" ht="30" x14ac:dyDescent="0.25">
      <c r="A200" s="267"/>
      <c r="B200" s="1"/>
      <c r="C200" s="1"/>
      <c r="D200" s="92">
        <v>0.22128</v>
      </c>
      <c r="E200" s="15" t="s">
        <v>198</v>
      </c>
      <c r="F200" s="93">
        <f t="shared" si="7"/>
        <v>0.22128</v>
      </c>
      <c r="G200" s="1"/>
      <c r="H200" s="1"/>
      <c r="I200" s="127" t="s">
        <v>198</v>
      </c>
      <c r="J200" s="92">
        <v>0.22128</v>
      </c>
      <c r="K200" s="92">
        <v>0</v>
      </c>
    </row>
    <row r="201" spans="1:11" x14ac:dyDescent="0.25">
      <c r="A201" s="267"/>
      <c r="B201" s="1"/>
      <c r="C201" s="1"/>
      <c r="D201" s="92">
        <f>0.09054+0.368+0.093+0.44156</f>
        <v>0.99310000000000009</v>
      </c>
      <c r="E201" s="15" t="s">
        <v>101</v>
      </c>
      <c r="F201" s="93">
        <f t="shared" si="7"/>
        <v>0.99310000000000009</v>
      </c>
      <c r="G201" s="1"/>
      <c r="H201" s="1"/>
      <c r="I201" s="127" t="s">
        <v>101</v>
      </c>
      <c r="J201" s="92">
        <v>0.87656000000000001</v>
      </c>
      <c r="K201" s="92">
        <v>0.11654</v>
      </c>
    </row>
    <row r="202" spans="1:11" x14ac:dyDescent="0.25">
      <c r="A202" s="267"/>
      <c r="B202" s="1"/>
      <c r="C202" s="1"/>
      <c r="D202" s="92">
        <f>0.549+1.396</f>
        <v>1.9449999999999998</v>
      </c>
      <c r="E202" s="15" t="s">
        <v>200</v>
      </c>
      <c r="F202" s="93">
        <f t="shared" si="7"/>
        <v>1.9449999999999998</v>
      </c>
      <c r="G202" s="1"/>
      <c r="H202" s="1"/>
      <c r="I202" s="127" t="s">
        <v>199</v>
      </c>
      <c r="J202" s="92">
        <v>1.43546</v>
      </c>
      <c r="K202" s="92">
        <v>0.50953999999999999</v>
      </c>
    </row>
    <row r="203" spans="1:11" x14ac:dyDescent="0.25">
      <c r="A203" s="267"/>
      <c r="B203" s="1"/>
      <c r="C203" s="1"/>
      <c r="D203" s="92">
        <f>0.4171+0.535+0.9416</f>
        <v>1.8936999999999999</v>
      </c>
      <c r="E203" s="15" t="s">
        <v>104</v>
      </c>
      <c r="F203" s="93">
        <f t="shared" si="7"/>
        <v>1.8936999999999999</v>
      </c>
      <c r="G203" s="1"/>
      <c r="H203" s="1"/>
      <c r="I203" s="127" t="s">
        <v>104</v>
      </c>
      <c r="J203" s="92">
        <v>1.3045599999999999</v>
      </c>
      <c r="K203" s="92">
        <v>0.58914</v>
      </c>
    </row>
    <row r="204" spans="1:11" x14ac:dyDescent="0.25">
      <c r="A204" s="267"/>
      <c r="B204" s="1"/>
      <c r="C204" s="1"/>
      <c r="D204" s="92">
        <v>1.7784</v>
      </c>
      <c r="E204" s="15" t="s">
        <v>201</v>
      </c>
      <c r="F204" s="93">
        <f t="shared" si="7"/>
        <v>1.7784</v>
      </c>
      <c r="G204" s="1"/>
      <c r="H204" s="1"/>
      <c r="I204" s="127" t="s">
        <v>201</v>
      </c>
      <c r="J204" s="92">
        <v>1.69746</v>
      </c>
      <c r="K204" s="92">
        <v>0.18923999999999999</v>
      </c>
    </row>
    <row r="205" spans="1:11" x14ac:dyDescent="0.25">
      <c r="A205" s="267"/>
      <c r="B205" s="1"/>
      <c r="C205" s="1"/>
      <c r="D205" s="92">
        <f>0.21507+1.19928</f>
        <v>1.41435</v>
      </c>
      <c r="E205" s="15" t="s">
        <v>202</v>
      </c>
      <c r="F205" s="93">
        <f t="shared" si="7"/>
        <v>1.41435</v>
      </c>
      <c r="G205" s="1"/>
      <c r="H205" s="1"/>
      <c r="I205" s="127" t="s">
        <v>202</v>
      </c>
      <c r="J205" s="92">
        <f>0.21507+1.19928</f>
        <v>1.41435</v>
      </c>
      <c r="K205" s="92">
        <v>0</v>
      </c>
    </row>
    <row r="206" spans="1:11" x14ac:dyDescent="0.25">
      <c r="A206" s="267"/>
      <c r="B206" s="1"/>
      <c r="C206" s="1"/>
      <c r="D206" s="92">
        <v>0.15095</v>
      </c>
      <c r="E206" s="15" t="s">
        <v>203</v>
      </c>
      <c r="F206" s="93">
        <f t="shared" si="7"/>
        <v>0.15095</v>
      </c>
      <c r="G206" s="1"/>
      <c r="H206" s="1"/>
      <c r="I206" s="127" t="s">
        <v>203</v>
      </c>
      <c r="J206" s="92">
        <v>0.15095</v>
      </c>
      <c r="K206" s="92">
        <v>0</v>
      </c>
    </row>
    <row r="207" spans="1:11" ht="45" x14ac:dyDescent="0.25">
      <c r="A207" s="267"/>
      <c r="B207" s="15" t="s">
        <v>236</v>
      </c>
      <c r="C207" s="1"/>
      <c r="D207" s="92"/>
      <c r="E207" s="15"/>
      <c r="F207" s="111"/>
      <c r="G207" s="1"/>
      <c r="H207" s="1"/>
      <c r="I207" s="127" t="s">
        <v>206</v>
      </c>
      <c r="J207" s="92">
        <v>0</v>
      </c>
      <c r="K207" s="92">
        <v>3.117E-2</v>
      </c>
    </row>
    <row r="208" spans="1:11" x14ac:dyDescent="0.25">
      <c r="A208" s="267"/>
      <c r="B208" s="1"/>
      <c r="C208" s="1"/>
      <c r="D208" s="92"/>
      <c r="E208" s="15"/>
      <c r="F208" s="93"/>
      <c r="G208" s="1"/>
      <c r="H208" s="1"/>
      <c r="I208" s="127" t="s">
        <v>51</v>
      </c>
      <c r="J208" s="92">
        <v>3.8580899999999998</v>
      </c>
      <c r="K208" s="92">
        <v>0</v>
      </c>
    </row>
    <row r="209" spans="1:11" x14ac:dyDescent="0.25">
      <c r="A209" s="267"/>
      <c r="B209" s="1"/>
      <c r="C209" s="1"/>
      <c r="D209" s="92"/>
      <c r="E209" s="15"/>
      <c r="F209" s="93"/>
      <c r="G209" s="1"/>
      <c r="H209" s="1"/>
      <c r="I209" s="127" t="s">
        <v>207</v>
      </c>
      <c r="J209" s="92">
        <v>1.07969</v>
      </c>
      <c r="K209" s="92">
        <v>0</v>
      </c>
    </row>
    <row r="210" spans="1:11" x14ac:dyDescent="0.25">
      <c r="A210" s="267"/>
      <c r="B210" s="1"/>
      <c r="C210" s="1"/>
      <c r="D210" s="92"/>
      <c r="E210" s="15"/>
      <c r="F210" s="93"/>
      <c r="G210" s="1"/>
      <c r="H210" s="1"/>
      <c r="I210" s="127" t="s">
        <v>208</v>
      </c>
      <c r="J210" s="92">
        <v>0</v>
      </c>
      <c r="K210" s="92">
        <v>2.4099999999999998E-3</v>
      </c>
    </row>
    <row r="211" spans="1:11" ht="30" x14ac:dyDescent="0.25">
      <c r="A211" s="267"/>
      <c r="B211" s="1"/>
      <c r="C211" s="1"/>
      <c r="D211" s="92"/>
      <c r="E211" s="15"/>
      <c r="F211" s="93"/>
      <c r="G211" s="1"/>
      <c r="H211" s="1"/>
      <c r="I211" s="127" t="s">
        <v>209</v>
      </c>
      <c r="J211" s="92">
        <v>0</v>
      </c>
      <c r="K211" s="92">
        <v>1.2630000000000001E-2</v>
      </c>
    </row>
    <row r="212" spans="1:11" x14ac:dyDescent="0.25">
      <c r="A212" s="267"/>
      <c r="B212" s="1"/>
      <c r="C212" s="1"/>
      <c r="D212" s="92"/>
      <c r="E212" s="15"/>
      <c r="F212" s="93"/>
      <c r="G212" s="1"/>
      <c r="H212" s="1"/>
      <c r="I212" s="127" t="s">
        <v>149</v>
      </c>
      <c r="J212" s="92">
        <v>1.8699999999999999E-3</v>
      </c>
      <c r="K212" s="92">
        <v>0</v>
      </c>
    </row>
    <row r="213" spans="1:11" x14ac:dyDescent="0.25">
      <c r="A213" s="267"/>
      <c r="B213" s="1"/>
      <c r="C213" s="1"/>
      <c r="D213" s="92"/>
      <c r="E213" s="28"/>
      <c r="F213" s="28"/>
      <c r="G213" s="28"/>
      <c r="H213" s="28"/>
      <c r="I213" s="129" t="s">
        <v>149</v>
      </c>
      <c r="J213" s="92">
        <v>1.5859999999999999E-2</v>
      </c>
      <c r="K213" s="92">
        <v>2.4930000000000001E-2</v>
      </c>
    </row>
    <row r="214" spans="1:11" x14ac:dyDescent="0.25">
      <c r="A214" s="267"/>
      <c r="B214" s="1"/>
      <c r="C214" s="1"/>
      <c r="D214" s="105"/>
      <c r="E214" s="15"/>
      <c r="F214" s="41"/>
      <c r="G214" s="1"/>
      <c r="H214" s="1"/>
      <c r="I214" s="127" t="s">
        <v>210</v>
      </c>
      <c r="J214" s="92">
        <v>9.5820000000000002E-2</v>
      </c>
      <c r="K214" s="92">
        <v>2.3E-2</v>
      </c>
    </row>
    <row r="215" spans="1:11" x14ac:dyDescent="0.25">
      <c r="A215" s="267"/>
      <c r="B215" s="1"/>
      <c r="C215" s="1"/>
      <c r="D215" s="105"/>
      <c r="E215" s="15"/>
      <c r="F215" s="41"/>
      <c r="G215" s="1"/>
      <c r="H215" s="1"/>
      <c r="I215" s="127" t="s">
        <v>55</v>
      </c>
      <c r="J215" s="92">
        <v>0.12144000000000001</v>
      </c>
      <c r="K215" s="92">
        <v>0</v>
      </c>
    </row>
    <row r="216" spans="1:11" x14ac:dyDescent="0.25">
      <c r="A216" s="267"/>
      <c r="B216" s="1"/>
      <c r="C216" s="1"/>
      <c r="D216" s="105"/>
      <c r="E216" s="15"/>
      <c r="F216" s="41"/>
      <c r="G216" s="1"/>
      <c r="H216" s="1"/>
      <c r="I216" s="127" t="s">
        <v>56</v>
      </c>
      <c r="J216" s="92">
        <v>0.55506</v>
      </c>
      <c r="K216" s="92">
        <v>1.2760000000000001E-2</v>
      </c>
    </row>
    <row r="217" spans="1:11" x14ac:dyDescent="0.25">
      <c r="A217" s="267"/>
      <c r="B217" s="1"/>
      <c r="C217" s="1"/>
      <c r="D217" s="105"/>
      <c r="E217" s="15"/>
      <c r="F217" s="41"/>
      <c r="G217" s="1"/>
      <c r="H217" s="1"/>
      <c r="I217" s="127" t="s">
        <v>256</v>
      </c>
      <c r="J217" s="92">
        <v>0</v>
      </c>
      <c r="K217" s="92">
        <v>1.0362</v>
      </c>
    </row>
    <row r="218" spans="1:11" x14ac:dyDescent="0.25">
      <c r="A218" s="267"/>
      <c r="B218" s="1"/>
      <c r="C218" s="1"/>
      <c r="D218" s="105"/>
      <c r="E218" s="15"/>
      <c r="F218" s="41"/>
      <c r="G218" s="1"/>
      <c r="H218" s="1"/>
      <c r="I218" s="127" t="s">
        <v>211</v>
      </c>
      <c r="J218" s="92">
        <v>1.5028300000000001</v>
      </c>
      <c r="K218" s="92">
        <v>0.31308000000000002</v>
      </c>
    </row>
    <row r="219" spans="1:11" x14ac:dyDescent="0.25">
      <c r="A219" s="267"/>
      <c r="B219" s="1"/>
      <c r="C219" s="1"/>
      <c r="D219" s="105"/>
      <c r="E219" s="15"/>
      <c r="F219" s="41"/>
      <c r="G219" s="1"/>
      <c r="H219" s="1"/>
      <c r="I219" s="127" t="s">
        <v>108</v>
      </c>
      <c r="J219" s="92">
        <v>0</v>
      </c>
      <c r="K219" s="92">
        <v>0.25700000000000001</v>
      </c>
    </row>
    <row r="220" spans="1:11" x14ac:dyDescent="0.25">
      <c r="A220" s="267"/>
      <c r="B220" s="1"/>
      <c r="C220" s="1"/>
      <c r="D220" s="105"/>
      <c r="E220" s="15"/>
      <c r="F220" s="41"/>
      <c r="G220" s="1"/>
      <c r="H220" s="1"/>
      <c r="I220" s="127" t="s">
        <v>58</v>
      </c>
      <c r="J220" s="92">
        <v>0.75255000000000005</v>
      </c>
      <c r="K220" s="92">
        <v>2.6970000000000001</v>
      </c>
    </row>
    <row r="221" spans="1:11" x14ac:dyDescent="0.25">
      <c r="A221" s="267"/>
      <c r="B221" s="1"/>
      <c r="C221" s="1"/>
      <c r="D221" s="105"/>
      <c r="E221" s="15"/>
      <c r="F221" s="41"/>
      <c r="G221" s="1"/>
      <c r="H221" s="1"/>
      <c r="I221" s="127" t="s">
        <v>212</v>
      </c>
      <c r="J221" s="92">
        <v>2.92E-2</v>
      </c>
      <c r="K221" s="92">
        <v>4.7789999999999999E-2</v>
      </c>
    </row>
    <row r="222" spans="1:11" x14ac:dyDescent="0.25">
      <c r="A222" s="267"/>
      <c r="B222" s="1"/>
      <c r="C222" s="1"/>
      <c r="D222" s="105"/>
      <c r="E222" s="15"/>
      <c r="F222" s="41"/>
      <c r="G222" s="1"/>
      <c r="H222" s="1"/>
      <c r="I222" s="127" t="s">
        <v>213</v>
      </c>
      <c r="J222" s="92">
        <v>0.22245000000000001</v>
      </c>
      <c r="K222" s="92">
        <v>0.60802999999999996</v>
      </c>
    </row>
    <row r="223" spans="1:11" x14ac:dyDescent="0.25">
      <c r="A223" s="267"/>
      <c r="B223" s="1"/>
      <c r="C223" s="1"/>
      <c r="D223" s="105"/>
      <c r="E223" s="15"/>
      <c r="F223" s="41"/>
      <c r="G223" s="1"/>
      <c r="H223" s="1"/>
      <c r="I223" s="127" t="s">
        <v>214</v>
      </c>
      <c r="J223" s="92">
        <v>3.9629999999999999E-2</v>
      </c>
      <c r="K223" s="92">
        <v>0</v>
      </c>
    </row>
    <row r="224" spans="1:11" x14ac:dyDescent="0.25">
      <c r="A224" s="267"/>
      <c r="B224" s="1"/>
      <c r="C224" s="1"/>
      <c r="D224" s="105"/>
      <c r="E224" s="15"/>
      <c r="F224" s="41"/>
      <c r="G224" s="1"/>
      <c r="H224" s="1"/>
      <c r="I224" s="127" t="s">
        <v>109</v>
      </c>
      <c r="J224" s="92">
        <v>0.17596000000000001</v>
      </c>
      <c r="K224" s="92">
        <v>0</v>
      </c>
    </row>
    <row r="225" spans="1:11" x14ac:dyDescent="0.25">
      <c r="A225" s="267"/>
      <c r="B225" s="1"/>
      <c r="C225" s="1"/>
      <c r="D225" s="105"/>
      <c r="E225" s="15"/>
      <c r="F225" s="41"/>
      <c r="G225" s="1"/>
      <c r="H225" s="1"/>
      <c r="I225" s="127" t="s">
        <v>158</v>
      </c>
      <c r="J225" s="92">
        <f>0.0737+0.66732+0.01813</f>
        <v>0.75914999999999999</v>
      </c>
      <c r="K225" s="92">
        <v>4.8340000000000001E-2</v>
      </c>
    </row>
    <row r="226" spans="1:11" x14ac:dyDescent="0.25">
      <c r="A226" s="267"/>
      <c r="B226" s="1"/>
      <c r="C226" s="1"/>
      <c r="D226" s="105"/>
      <c r="E226" s="15"/>
      <c r="F226" s="41"/>
      <c r="G226" s="1"/>
      <c r="H226" s="1"/>
      <c r="I226" s="127" t="s">
        <v>215</v>
      </c>
      <c r="J226" s="92">
        <v>1.70109</v>
      </c>
      <c r="K226" s="92">
        <v>0</v>
      </c>
    </row>
    <row r="227" spans="1:11" x14ac:dyDescent="0.25">
      <c r="A227" s="267"/>
      <c r="B227" s="1"/>
      <c r="C227" s="1"/>
      <c r="D227" s="105"/>
      <c r="E227" s="15"/>
      <c r="F227" s="41"/>
      <c r="G227" s="1"/>
      <c r="H227" s="1"/>
      <c r="I227" s="127" t="s">
        <v>62</v>
      </c>
      <c r="J227" s="92">
        <v>2.0369999999999999E-2</v>
      </c>
      <c r="K227" s="92">
        <v>2.1229999999999999E-2</v>
      </c>
    </row>
    <row r="228" spans="1:11" x14ac:dyDescent="0.25">
      <c r="A228" s="267"/>
      <c r="B228" s="1"/>
      <c r="C228" s="1"/>
      <c r="D228" s="105"/>
      <c r="E228" s="15"/>
      <c r="F228" s="41"/>
      <c r="G228" s="1"/>
      <c r="H228" s="1"/>
      <c r="I228" s="127" t="s">
        <v>64</v>
      </c>
      <c r="J228" s="92">
        <v>3.9410000000000001E-2</v>
      </c>
      <c r="K228" s="92">
        <v>0</v>
      </c>
    </row>
    <row r="229" spans="1:11" x14ac:dyDescent="0.25">
      <c r="A229" s="267"/>
      <c r="B229" s="1"/>
      <c r="C229" s="1"/>
      <c r="D229" s="105"/>
      <c r="E229" s="15"/>
      <c r="F229" s="41"/>
      <c r="G229" s="1"/>
      <c r="H229" s="1"/>
      <c r="I229" s="127" t="s">
        <v>216</v>
      </c>
      <c r="J229" s="92">
        <v>0.35499999999999998</v>
      </c>
      <c r="K229" s="92">
        <v>0</v>
      </c>
    </row>
    <row r="230" spans="1:11" x14ac:dyDescent="0.25">
      <c r="A230" s="267"/>
      <c r="B230" s="1"/>
      <c r="C230" s="1"/>
      <c r="D230" s="105"/>
      <c r="E230" s="15"/>
      <c r="F230" s="41"/>
      <c r="G230" s="1"/>
      <c r="H230" s="1"/>
      <c r="I230" s="127" t="s">
        <v>217</v>
      </c>
      <c r="J230" s="92">
        <v>0.29204999999999998</v>
      </c>
      <c r="K230" s="92">
        <v>0.1062</v>
      </c>
    </row>
    <row r="231" spans="1:11" x14ac:dyDescent="0.25">
      <c r="A231" s="267"/>
      <c r="B231" s="1"/>
      <c r="C231" s="1"/>
      <c r="D231" s="105"/>
      <c r="E231" s="15"/>
      <c r="F231" s="41"/>
      <c r="G231" s="1"/>
      <c r="H231" s="1"/>
      <c r="I231" s="127" t="s">
        <v>218</v>
      </c>
      <c r="J231" s="92">
        <v>1.7710600000000001</v>
      </c>
      <c r="K231" s="92">
        <v>1.4098299999999999</v>
      </c>
    </row>
    <row r="232" spans="1:11" x14ac:dyDescent="0.25">
      <c r="A232" s="267"/>
      <c r="B232" s="1"/>
      <c r="C232" s="1"/>
      <c r="D232" s="105"/>
      <c r="E232" s="15"/>
      <c r="F232" s="41"/>
      <c r="G232" s="1"/>
      <c r="H232" s="1"/>
      <c r="I232" s="127" t="s">
        <v>219</v>
      </c>
      <c r="J232" s="92">
        <v>0.14358000000000001</v>
      </c>
      <c r="K232" s="92">
        <v>0</v>
      </c>
    </row>
    <row r="233" spans="1:11" x14ac:dyDescent="0.25">
      <c r="A233" s="267"/>
      <c r="B233" s="1"/>
      <c r="C233" s="1"/>
      <c r="D233" s="105"/>
      <c r="E233" s="15"/>
      <c r="F233" s="41"/>
      <c r="G233" s="1"/>
      <c r="H233" s="1"/>
      <c r="I233" s="127" t="s">
        <v>220</v>
      </c>
      <c r="J233" s="92">
        <v>0</v>
      </c>
      <c r="K233" s="92">
        <v>0.28806999999999999</v>
      </c>
    </row>
    <row r="234" spans="1:11" x14ac:dyDescent="0.25">
      <c r="A234" s="267"/>
      <c r="B234" s="1"/>
      <c r="C234" s="1"/>
      <c r="D234" s="105"/>
      <c r="E234" s="15"/>
      <c r="F234" s="41"/>
      <c r="G234" s="1"/>
      <c r="H234" s="1"/>
      <c r="I234" s="127" t="s">
        <v>67</v>
      </c>
      <c r="J234" s="92">
        <v>6.7140000000000005E-2</v>
      </c>
      <c r="K234" s="92">
        <v>0.13428999999999999</v>
      </c>
    </row>
    <row r="235" spans="1:11" x14ac:dyDescent="0.25">
      <c r="A235" s="267"/>
      <c r="B235" s="1"/>
      <c r="C235" s="1"/>
      <c r="D235" s="105"/>
      <c r="E235" s="15"/>
      <c r="F235" s="41"/>
      <c r="G235" s="1"/>
      <c r="H235" s="1"/>
      <c r="I235" s="127" t="s">
        <v>221</v>
      </c>
      <c r="J235" s="92">
        <v>0</v>
      </c>
      <c r="K235" s="92">
        <v>1.9252499999999999</v>
      </c>
    </row>
    <row r="236" spans="1:11" x14ac:dyDescent="0.25">
      <c r="A236" s="267"/>
      <c r="B236" s="1"/>
      <c r="C236" s="1"/>
      <c r="D236" s="105"/>
      <c r="E236" s="15"/>
      <c r="F236" s="41"/>
      <c r="G236" s="1"/>
      <c r="H236" s="1"/>
      <c r="I236" s="127" t="s">
        <v>69</v>
      </c>
      <c r="J236" s="92">
        <v>0.37791000000000002</v>
      </c>
      <c r="K236" s="92">
        <v>0</v>
      </c>
    </row>
    <row r="237" spans="1:11" ht="30" x14ac:dyDescent="0.25">
      <c r="A237" s="267"/>
      <c r="B237" s="1"/>
      <c r="C237" s="1"/>
      <c r="D237" s="105"/>
      <c r="E237" s="15"/>
      <c r="F237" s="41"/>
      <c r="G237" s="1"/>
      <c r="H237" s="1"/>
      <c r="I237" s="127" t="s">
        <v>222</v>
      </c>
      <c r="J237" s="92">
        <v>0</v>
      </c>
      <c r="K237" s="92">
        <v>2.2000000000000002</v>
      </c>
    </row>
    <row r="238" spans="1:11" x14ac:dyDescent="0.25">
      <c r="A238" s="267"/>
      <c r="B238" s="1"/>
      <c r="C238" s="1"/>
      <c r="D238" s="105"/>
      <c r="E238" s="15"/>
      <c r="F238" s="41"/>
      <c r="G238" s="1"/>
      <c r="H238" s="1"/>
      <c r="I238" s="127" t="s">
        <v>223</v>
      </c>
      <c r="J238" s="92">
        <v>0.15623000000000001</v>
      </c>
      <c r="K238" s="92">
        <v>0.62492000000000003</v>
      </c>
    </row>
    <row r="239" spans="1:11" ht="30" x14ac:dyDescent="0.25">
      <c r="A239" s="267"/>
      <c r="B239" s="1"/>
      <c r="C239" s="1"/>
      <c r="D239" s="105"/>
      <c r="E239" s="15"/>
      <c r="F239" s="41"/>
      <c r="G239" s="1"/>
      <c r="H239" s="1"/>
      <c r="I239" s="127" t="s">
        <v>168</v>
      </c>
      <c r="J239" s="92">
        <v>0.17655000000000001</v>
      </c>
      <c r="K239" s="92">
        <v>7.0620000000000002E-2</v>
      </c>
    </row>
    <row r="240" spans="1:11" x14ac:dyDescent="0.25">
      <c r="A240" s="267"/>
      <c r="B240" s="1"/>
      <c r="C240" s="1"/>
      <c r="D240" s="105"/>
      <c r="E240" s="15"/>
      <c r="F240" s="41"/>
      <c r="G240" s="1"/>
      <c r="H240" s="1"/>
      <c r="I240" s="127" t="s">
        <v>224</v>
      </c>
      <c r="J240" s="92">
        <f>0.10752+0.22206+0.21871</f>
        <v>0.54828999999999994</v>
      </c>
      <c r="K240" s="92">
        <f>0.00335</f>
        <v>3.3500000000000001E-3</v>
      </c>
    </row>
    <row r="241" spans="1:11" x14ac:dyDescent="0.25">
      <c r="A241" s="267"/>
      <c r="B241" s="1"/>
      <c r="C241" s="1"/>
      <c r="D241" s="105"/>
      <c r="E241" s="15"/>
      <c r="F241" s="41"/>
      <c r="G241" s="1"/>
      <c r="H241" s="1"/>
      <c r="I241" s="127" t="s">
        <v>225</v>
      </c>
      <c r="J241" s="92">
        <v>2.3820000000000001E-2</v>
      </c>
      <c r="K241" s="92">
        <v>0.18462000000000001</v>
      </c>
    </row>
    <row r="242" spans="1:11" x14ac:dyDescent="0.25">
      <c r="A242" s="267"/>
      <c r="B242" s="1"/>
      <c r="C242" s="1"/>
      <c r="D242" s="105"/>
      <c r="E242" s="15"/>
      <c r="F242" s="41"/>
      <c r="G242" s="1"/>
      <c r="H242" s="1"/>
      <c r="I242" s="127" t="s">
        <v>71</v>
      </c>
      <c r="J242" s="92">
        <v>0</v>
      </c>
      <c r="K242" s="92">
        <v>0.24717</v>
      </c>
    </row>
    <row r="243" spans="1:11" ht="30" x14ac:dyDescent="0.25">
      <c r="A243" s="267"/>
      <c r="B243" s="1"/>
      <c r="C243" s="1"/>
      <c r="D243" s="105"/>
      <c r="E243" s="15"/>
      <c r="F243" s="41"/>
      <c r="G243" s="1"/>
      <c r="H243" s="1"/>
      <c r="I243" s="127" t="s">
        <v>226</v>
      </c>
      <c r="J243" s="92">
        <v>0</v>
      </c>
      <c r="K243" s="92">
        <v>2.34572</v>
      </c>
    </row>
    <row r="244" spans="1:11" ht="30" x14ac:dyDescent="0.25">
      <c r="A244" s="267"/>
      <c r="B244" s="1"/>
      <c r="C244" s="1"/>
      <c r="D244" s="105"/>
      <c r="E244" s="15"/>
      <c r="F244" s="41"/>
      <c r="G244" s="1"/>
      <c r="H244" s="1"/>
      <c r="I244" s="127" t="s">
        <v>227</v>
      </c>
      <c r="J244" s="92">
        <v>0</v>
      </c>
      <c r="K244" s="92">
        <v>0.32501999999999998</v>
      </c>
    </row>
    <row r="245" spans="1:11" x14ac:dyDescent="0.25">
      <c r="A245" s="267"/>
      <c r="B245" s="1"/>
      <c r="C245" s="1"/>
      <c r="D245" s="105"/>
      <c r="E245" s="15"/>
      <c r="F245" s="41"/>
      <c r="G245" s="1"/>
      <c r="H245" s="1"/>
      <c r="I245" s="127" t="s">
        <v>228</v>
      </c>
      <c r="J245" s="92">
        <f>0.7062+0.86863</f>
        <v>1.57483</v>
      </c>
      <c r="K245" s="92">
        <v>4.1599999999999998E-2</v>
      </c>
    </row>
    <row r="246" spans="1:11" x14ac:dyDescent="0.25">
      <c r="A246" s="267"/>
      <c r="B246" s="1"/>
      <c r="C246" s="1"/>
      <c r="D246" s="105"/>
      <c r="E246" s="15"/>
      <c r="F246" s="41"/>
      <c r="G246" s="1"/>
      <c r="H246" s="1"/>
      <c r="I246" s="127" t="s">
        <v>171</v>
      </c>
      <c r="J246" s="92">
        <f>0.04058+0.01421+0.09099</f>
        <v>0.14577999999999999</v>
      </c>
      <c r="K246" s="92">
        <v>0.106</v>
      </c>
    </row>
    <row r="247" spans="1:11" x14ac:dyDescent="0.25">
      <c r="A247" s="267"/>
      <c r="B247" s="1"/>
      <c r="C247" s="1"/>
      <c r="D247" s="105"/>
      <c r="E247" s="15"/>
      <c r="F247" s="41"/>
      <c r="G247" s="1"/>
      <c r="H247" s="1"/>
      <c r="I247" s="127" t="s">
        <v>229</v>
      </c>
      <c r="J247" s="92">
        <v>0</v>
      </c>
      <c r="K247" s="92">
        <v>0.12324</v>
      </c>
    </row>
    <row r="248" spans="1:11" x14ac:dyDescent="0.25">
      <c r="A248" s="267"/>
      <c r="B248" s="1"/>
      <c r="C248" s="1"/>
      <c r="D248" s="105"/>
      <c r="E248" s="15"/>
      <c r="F248" s="41"/>
      <c r="G248" s="1"/>
      <c r="H248" s="1"/>
      <c r="I248" s="127" t="s">
        <v>230</v>
      </c>
      <c r="J248" s="92">
        <v>0.1973</v>
      </c>
      <c r="K248" s="92">
        <v>7.6730000000000007E-2</v>
      </c>
    </row>
    <row r="249" spans="1:11" x14ac:dyDescent="0.25">
      <c r="A249" s="267"/>
      <c r="B249" s="1"/>
      <c r="C249" s="1"/>
      <c r="D249" s="105"/>
      <c r="E249" s="15"/>
      <c r="F249" s="41"/>
      <c r="G249" s="1"/>
      <c r="H249" s="1"/>
      <c r="I249" s="127" t="s">
        <v>231</v>
      </c>
      <c r="J249" s="92">
        <v>0.12683</v>
      </c>
      <c r="K249" s="92">
        <v>0.25967000000000001</v>
      </c>
    </row>
    <row r="250" spans="1:11" x14ac:dyDescent="0.25">
      <c r="A250" s="267"/>
      <c r="B250" s="1"/>
      <c r="C250" s="1"/>
      <c r="D250" s="105"/>
      <c r="E250" s="15"/>
      <c r="F250" s="41"/>
      <c r="G250" s="1"/>
      <c r="H250" s="1"/>
      <c r="I250" s="127" t="s">
        <v>232</v>
      </c>
      <c r="J250" s="92">
        <f>0.22948</f>
        <v>0.22947999999999999</v>
      </c>
      <c r="K250" s="92">
        <v>0.11724999999999999</v>
      </c>
    </row>
    <row r="251" spans="1:11" x14ac:dyDescent="0.25">
      <c r="A251" s="267"/>
      <c r="B251" s="1"/>
      <c r="C251" s="1"/>
      <c r="D251" s="105"/>
      <c r="E251" s="15"/>
      <c r="F251" s="41"/>
      <c r="G251" s="1"/>
      <c r="H251" s="1"/>
      <c r="I251" s="127" t="s">
        <v>77</v>
      </c>
      <c r="J251" s="92">
        <v>1.73715</v>
      </c>
      <c r="K251" s="92">
        <v>0</v>
      </c>
    </row>
    <row r="252" spans="1:11" x14ac:dyDescent="0.25">
      <c r="A252" s="267"/>
      <c r="B252" s="1"/>
      <c r="C252" s="1"/>
      <c r="D252" s="105"/>
      <c r="E252" s="15"/>
      <c r="F252" s="41"/>
      <c r="G252" s="1"/>
      <c r="H252" s="1"/>
      <c r="I252" s="127" t="s">
        <v>78</v>
      </c>
      <c r="J252" s="92">
        <v>0.1024</v>
      </c>
      <c r="K252" s="92">
        <v>0.51200000000000001</v>
      </c>
    </row>
    <row r="253" spans="1:11" ht="30" x14ac:dyDescent="0.25">
      <c r="A253" s="267"/>
      <c r="B253" s="1"/>
      <c r="C253" s="1"/>
      <c r="D253" s="105"/>
      <c r="E253" s="15"/>
      <c r="F253" s="41"/>
      <c r="G253" s="1"/>
      <c r="H253" s="1"/>
      <c r="I253" s="127" t="s">
        <v>121</v>
      </c>
      <c r="J253" s="92">
        <v>5.1880000000000003E-2</v>
      </c>
      <c r="K253" s="92">
        <v>0</v>
      </c>
    </row>
    <row r="254" spans="1:11" x14ac:dyDescent="0.25">
      <c r="A254" s="267"/>
      <c r="B254" s="1"/>
      <c r="C254" s="1"/>
      <c r="D254" s="105"/>
      <c r="E254" s="15"/>
      <c r="F254" s="41"/>
      <c r="G254" s="1"/>
      <c r="H254" s="1"/>
      <c r="I254" s="127" t="s">
        <v>233</v>
      </c>
      <c r="J254" s="92">
        <v>0.11341</v>
      </c>
      <c r="K254" s="92">
        <v>0.15878999999999999</v>
      </c>
    </row>
    <row r="255" spans="1:11" x14ac:dyDescent="0.25">
      <c r="A255" s="267"/>
      <c r="B255" s="1"/>
      <c r="C255" s="1"/>
      <c r="D255" s="105"/>
      <c r="E255" s="15"/>
      <c r="F255" s="41"/>
      <c r="G255" s="1"/>
      <c r="H255" s="1"/>
      <c r="I255" s="127" t="s">
        <v>81</v>
      </c>
      <c r="J255" s="92">
        <f>0.23478+0.0132</f>
        <v>0.24797999999999998</v>
      </c>
      <c r="K255" s="92">
        <v>0.497</v>
      </c>
    </row>
    <row r="256" spans="1:11" x14ac:dyDescent="0.25">
      <c r="A256" s="267"/>
      <c r="B256" s="1"/>
      <c r="C256" s="1"/>
      <c r="D256" s="105"/>
      <c r="E256" s="15"/>
      <c r="F256" s="41"/>
      <c r="G256" s="1"/>
      <c r="H256" s="1"/>
      <c r="I256" s="127" t="s">
        <v>234</v>
      </c>
      <c r="J256" s="92">
        <f>0.1548+0.5082</f>
        <v>0.66300000000000003</v>
      </c>
      <c r="K256" s="92">
        <v>0</v>
      </c>
    </row>
    <row r="257" spans="1:11" x14ac:dyDescent="0.25">
      <c r="A257" s="267"/>
      <c r="B257" s="1"/>
      <c r="C257" s="1"/>
      <c r="D257" s="105"/>
      <c r="E257" s="15"/>
      <c r="F257" s="41"/>
      <c r="G257" s="1"/>
      <c r="H257" s="1"/>
      <c r="I257" s="127" t="s">
        <v>83</v>
      </c>
      <c r="J257" s="92">
        <v>0</v>
      </c>
      <c r="K257" s="92">
        <v>5.6250000000000001E-2</v>
      </c>
    </row>
    <row r="258" spans="1:11" x14ac:dyDescent="0.25">
      <c r="A258" s="267"/>
      <c r="B258" s="1"/>
      <c r="C258" s="1"/>
      <c r="D258" s="105"/>
      <c r="E258" s="15"/>
      <c r="F258" s="41"/>
      <c r="G258" s="1"/>
      <c r="H258" s="1"/>
      <c r="I258" s="127" t="s">
        <v>84</v>
      </c>
      <c r="J258" s="92">
        <v>0</v>
      </c>
      <c r="K258" s="92">
        <v>1.125E-2</v>
      </c>
    </row>
    <row r="259" spans="1:11" x14ac:dyDescent="0.25">
      <c r="A259" s="267"/>
      <c r="B259" s="1"/>
      <c r="C259" s="1"/>
      <c r="D259" s="105"/>
      <c r="E259" s="15"/>
      <c r="F259" s="41"/>
      <c r="G259" s="1"/>
      <c r="H259" s="1"/>
      <c r="I259" s="127" t="s">
        <v>235</v>
      </c>
      <c r="J259" s="92">
        <v>0</v>
      </c>
      <c r="K259" s="92">
        <v>1.125E-2</v>
      </c>
    </row>
    <row r="260" spans="1:11" x14ac:dyDescent="0.25">
      <c r="A260" s="267"/>
      <c r="B260" s="1"/>
      <c r="C260" s="1"/>
      <c r="D260" s="105"/>
      <c r="E260" s="15"/>
      <c r="F260" s="41"/>
      <c r="G260" s="1"/>
      <c r="H260" s="1"/>
      <c r="I260" s="127" t="s">
        <v>237</v>
      </c>
      <c r="J260" s="92">
        <v>0</v>
      </c>
      <c r="K260" s="92">
        <v>5.6250000000000001E-2</v>
      </c>
    </row>
    <row r="261" spans="1:11" x14ac:dyDescent="0.25">
      <c r="A261" s="267"/>
      <c r="B261" s="1"/>
      <c r="C261" s="1"/>
      <c r="D261" s="105"/>
      <c r="E261" s="15"/>
      <c r="F261" s="41"/>
      <c r="G261" s="1"/>
      <c r="H261" s="1"/>
      <c r="I261" s="127" t="s">
        <v>238</v>
      </c>
      <c r="J261" s="92">
        <v>0</v>
      </c>
      <c r="K261" s="92">
        <v>1.125E-2</v>
      </c>
    </row>
    <row r="262" spans="1:11" ht="30" x14ac:dyDescent="0.25">
      <c r="A262" s="267"/>
      <c r="B262" s="1"/>
      <c r="C262" s="1"/>
      <c r="D262" s="105"/>
      <c r="E262" s="15"/>
      <c r="F262" s="41"/>
      <c r="G262" s="1"/>
      <c r="H262" s="1"/>
      <c r="I262" s="127" t="s">
        <v>86</v>
      </c>
      <c r="J262" s="92">
        <v>0.27660000000000001</v>
      </c>
      <c r="K262" s="92">
        <v>0.41489999999999999</v>
      </c>
    </row>
    <row r="263" spans="1:11" x14ac:dyDescent="0.25">
      <c r="A263" s="267"/>
      <c r="B263" s="1"/>
      <c r="C263" s="1"/>
      <c r="D263" s="105"/>
      <c r="E263" s="15"/>
      <c r="F263" s="41"/>
      <c r="G263" s="1"/>
      <c r="H263" s="1"/>
      <c r="I263" s="127" t="s">
        <v>182</v>
      </c>
      <c r="J263" s="92">
        <v>3.3403299999999998</v>
      </c>
      <c r="K263" s="92">
        <v>0.46609</v>
      </c>
    </row>
    <row r="264" spans="1:11" ht="30" x14ac:dyDescent="0.25">
      <c r="A264" s="267"/>
      <c r="B264" s="1"/>
      <c r="C264" s="1"/>
      <c r="D264" s="105"/>
      <c r="E264" s="15"/>
      <c r="F264" s="41"/>
      <c r="G264" s="1"/>
      <c r="H264" s="1"/>
      <c r="I264" s="127" t="s">
        <v>88</v>
      </c>
      <c r="J264" s="92">
        <v>0</v>
      </c>
      <c r="K264" s="92">
        <v>0.11871</v>
      </c>
    </row>
    <row r="265" spans="1:11" x14ac:dyDescent="0.25">
      <c r="A265" s="267"/>
      <c r="B265" s="1"/>
      <c r="C265" s="1"/>
      <c r="D265" s="105"/>
      <c r="E265" s="15"/>
      <c r="F265" s="41"/>
      <c r="G265" s="1"/>
      <c r="H265" s="1"/>
      <c r="I265" s="127" t="s">
        <v>89</v>
      </c>
      <c r="J265" s="92">
        <v>0.40134999999999998</v>
      </c>
      <c r="K265" s="92">
        <v>0</v>
      </c>
    </row>
    <row r="266" spans="1:11" ht="30" x14ac:dyDescent="0.25">
      <c r="A266" s="267"/>
      <c r="B266" s="1"/>
      <c r="C266" s="1"/>
      <c r="D266" s="105"/>
      <c r="E266" s="15"/>
      <c r="F266" s="41"/>
      <c r="G266" s="1"/>
      <c r="H266" s="1"/>
      <c r="I266" s="127" t="s">
        <v>239</v>
      </c>
      <c r="J266" s="92">
        <v>2.7629999999999999</v>
      </c>
      <c r="K266" s="92">
        <v>0</v>
      </c>
    </row>
    <row r="267" spans="1:11" ht="30" x14ac:dyDescent="0.25">
      <c r="A267" s="267"/>
      <c r="B267" s="1"/>
      <c r="C267" s="1"/>
      <c r="D267" s="105"/>
      <c r="E267" s="15"/>
      <c r="F267" s="41"/>
      <c r="G267" s="1"/>
      <c r="H267" s="1"/>
      <c r="I267" s="127" t="s">
        <v>240</v>
      </c>
      <c r="J267" s="92">
        <v>1.70692</v>
      </c>
      <c r="K267" s="92">
        <v>7.3340000000000002E-2</v>
      </c>
    </row>
    <row r="268" spans="1:11" ht="30" x14ac:dyDescent="0.25">
      <c r="A268" s="267"/>
      <c r="B268" s="1"/>
      <c r="C268" s="1"/>
      <c r="D268" s="105"/>
      <c r="E268" s="15"/>
      <c r="F268" s="41"/>
      <c r="G268" s="1"/>
      <c r="H268" s="1"/>
      <c r="I268" s="127" t="s">
        <v>241</v>
      </c>
      <c r="J268" s="92">
        <v>0.61399999999999999</v>
      </c>
      <c r="K268" s="92">
        <v>0</v>
      </c>
    </row>
    <row r="269" spans="1:11" ht="33" customHeight="1" x14ac:dyDescent="0.25">
      <c r="A269" s="267"/>
      <c r="B269" s="1"/>
      <c r="C269" s="1"/>
      <c r="D269" s="105"/>
      <c r="E269" s="15"/>
      <c r="F269" s="41"/>
      <c r="G269" s="1"/>
      <c r="H269" s="1"/>
      <c r="I269" s="127" t="s">
        <v>242</v>
      </c>
      <c r="J269" s="92">
        <v>2.149</v>
      </c>
      <c r="K269" s="92">
        <v>0</v>
      </c>
    </row>
    <row r="270" spans="1:11" ht="30" x14ac:dyDescent="0.25">
      <c r="A270" s="267"/>
      <c r="B270" s="1"/>
      <c r="C270" s="1"/>
      <c r="D270" s="105"/>
      <c r="E270" s="15"/>
      <c r="F270" s="41"/>
      <c r="G270" s="1"/>
      <c r="H270" s="1"/>
      <c r="I270" s="127" t="s">
        <v>243</v>
      </c>
      <c r="J270" s="92">
        <v>1.4981599999999999</v>
      </c>
      <c r="K270" s="92">
        <v>0</v>
      </c>
    </row>
    <row r="271" spans="1:11" x14ac:dyDescent="0.25">
      <c r="A271" s="267"/>
      <c r="B271" s="1"/>
      <c r="C271" s="1"/>
      <c r="D271" s="105"/>
      <c r="E271" s="15"/>
      <c r="F271" s="41"/>
      <c r="G271" s="1"/>
      <c r="H271" s="1"/>
      <c r="I271" s="127" t="s">
        <v>90</v>
      </c>
      <c r="J271" s="92">
        <v>0.92447999999999997</v>
      </c>
      <c r="K271" s="92">
        <v>0</v>
      </c>
    </row>
    <row r="272" spans="1:11" ht="30" x14ac:dyDescent="0.25">
      <c r="A272" s="267"/>
      <c r="B272" s="1"/>
      <c r="C272" s="1"/>
      <c r="D272" s="105"/>
      <c r="E272" s="15"/>
      <c r="F272" s="41"/>
      <c r="G272" s="1"/>
      <c r="H272" s="1"/>
      <c r="I272" s="127" t="s">
        <v>244</v>
      </c>
      <c r="J272" s="92">
        <v>0</v>
      </c>
      <c r="K272" s="92">
        <v>0.64175000000000004</v>
      </c>
    </row>
    <row r="273" spans="1:11" x14ac:dyDescent="0.25">
      <c r="A273" s="267"/>
      <c r="B273" s="1"/>
      <c r="C273" s="1"/>
      <c r="D273" s="105"/>
      <c r="E273" s="15"/>
      <c r="F273" s="41"/>
      <c r="G273" s="1"/>
      <c r="H273" s="1"/>
      <c r="I273" s="127" t="s">
        <v>91</v>
      </c>
      <c r="J273" s="92">
        <f>1.04343+1.39614</f>
        <v>2.4395699999999998</v>
      </c>
      <c r="K273" s="92">
        <v>0</v>
      </c>
    </row>
    <row r="274" spans="1:11" x14ac:dyDescent="0.25">
      <c r="A274" s="267"/>
      <c r="B274" s="1"/>
      <c r="C274" s="1"/>
      <c r="D274" s="105"/>
      <c r="E274" s="15"/>
      <c r="F274" s="41"/>
      <c r="G274" s="1"/>
      <c r="H274" s="1"/>
      <c r="I274" s="127" t="s">
        <v>92</v>
      </c>
      <c r="J274" s="92">
        <v>0.29442000000000002</v>
      </c>
      <c r="K274" s="92">
        <v>0.29442000000000002</v>
      </c>
    </row>
    <row r="275" spans="1:11" x14ac:dyDescent="0.25">
      <c r="A275" s="267"/>
      <c r="B275" s="1"/>
      <c r="C275" s="1"/>
      <c r="D275" s="105"/>
      <c r="E275" s="15"/>
      <c r="F275" s="41"/>
      <c r="G275" s="1"/>
      <c r="H275" s="1"/>
      <c r="I275" s="127" t="s">
        <v>245</v>
      </c>
      <c r="J275" s="92">
        <v>0</v>
      </c>
      <c r="K275" s="92">
        <v>0.2198</v>
      </c>
    </row>
    <row r="276" spans="1:11" x14ac:dyDescent="0.25">
      <c r="A276" s="267"/>
      <c r="B276" s="1"/>
      <c r="C276" s="1"/>
      <c r="D276" s="105"/>
      <c r="E276" s="15"/>
      <c r="F276" s="41"/>
      <c r="G276" s="1"/>
      <c r="H276" s="1"/>
      <c r="I276" s="127" t="s">
        <v>246</v>
      </c>
      <c r="J276" s="92">
        <v>0.93847999999999998</v>
      </c>
      <c r="K276" s="92">
        <v>1.1016900000000001</v>
      </c>
    </row>
    <row r="277" spans="1:11" x14ac:dyDescent="0.25">
      <c r="A277" s="267"/>
      <c r="B277" s="1"/>
      <c r="C277" s="1"/>
      <c r="D277" s="105"/>
      <c r="E277" s="15"/>
      <c r="F277" s="41"/>
      <c r="G277" s="1"/>
      <c r="H277" s="1"/>
      <c r="I277" s="127" t="s">
        <v>93</v>
      </c>
      <c r="J277" s="92">
        <v>7.9000000000000001E-2</v>
      </c>
      <c r="K277" s="92">
        <v>2.6329999999999999E-2</v>
      </c>
    </row>
    <row r="278" spans="1:11" x14ac:dyDescent="0.25">
      <c r="A278" s="267"/>
      <c r="B278" s="1"/>
      <c r="C278" s="1"/>
      <c r="D278" s="105"/>
      <c r="E278" s="15"/>
      <c r="F278" s="41"/>
      <c r="G278" s="1"/>
      <c r="H278" s="1"/>
      <c r="I278" s="127" t="s">
        <v>197</v>
      </c>
      <c r="J278" s="92">
        <f>0.65037+0.27473</f>
        <v>0.92510000000000003</v>
      </c>
      <c r="K278" s="92">
        <v>2.67441</v>
      </c>
    </row>
    <row r="279" spans="1:11" x14ac:dyDescent="0.25">
      <c r="A279" s="267"/>
      <c r="B279" s="1"/>
      <c r="C279" s="1"/>
      <c r="D279" s="105"/>
      <c r="E279" s="15"/>
      <c r="F279" s="41"/>
      <c r="G279" s="1"/>
      <c r="H279" s="1"/>
      <c r="I279" s="127" t="s">
        <v>247</v>
      </c>
      <c r="J279" s="92">
        <v>9.5100000000000004E-2</v>
      </c>
      <c r="K279" s="92">
        <v>0.85592000000000001</v>
      </c>
    </row>
    <row r="280" spans="1:11" x14ac:dyDescent="0.25">
      <c r="A280" s="267"/>
      <c r="B280" s="1"/>
      <c r="C280" s="1"/>
      <c r="D280" s="105"/>
      <c r="E280" s="15"/>
      <c r="F280" s="41"/>
      <c r="G280" s="1"/>
      <c r="H280" s="1"/>
      <c r="I280" s="127" t="s">
        <v>190</v>
      </c>
      <c r="J280" s="92">
        <v>0.80511999999999995</v>
      </c>
      <c r="K280" s="92">
        <v>2.0933299999999999</v>
      </c>
    </row>
    <row r="281" spans="1:11" x14ac:dyDescent="0.25">
      <c r="A281" s="267"/>
      <c r="B281" s="1"/>
      <c r="C281" s="1"/>
      <c r="D281" s="105"/>
      <c r="E281" s="15"/>
      <c r="F281" s="41"/>
      <c r="G281" s="1"/>
      <c r="H281" s="1"/>
      <c r="I281" s="127" t="s">
        <v>257</v>
      </c>
      <c r="J281" s="92">
        <v>0</v>
      </c>
      <c r="K281" s="92">
        <v>0.11787</v>
      </c>
    </row>
    <row r="282" spans="1:11" x14ac:dyDescent="0.25">
      <c r="A282" s="267"/>
      <c r="B282" s="1"/>
      <c r="C282" s="1"/>
      <c r="D282" s="105"/>
      <c r="E282" s="15"/>
      <c r="F282" s="41"/>
      <c r="G282" s="1"/>
      <c r="H282" s="1"/>
      <c r="I282" s="127" t="s">
        <v>192</v>
      </c>
      <c r="J282" s="92">
        <v>0.15210000000000001</v>
      </c>
      <c r="K282" s="92">
        <v>0</v>
      </c>
    </row>
    <row r="283" spans="1:11" x14ac:dyDescent="0.25">
      <c r="A283" s="267"/>
      <c r="B283" s="1"/>
      <c r="C283" s="1"/>
      <c r="D283" s="105"/>
      <c r="E283" s="15"/>
      <c r="F283" s="41"/>
      <c r="G283" s="1"/>
      <c r="H283" s="1"/>
      <c r="I283" s="127" t="s">
        <v>248</v>
      </c>
      <c r="J283" s="92">
        <v>0.57376000000000005</v>
      </c>
      <c r="K283" s="92">
        <v>0</v>
      </c>
    </row>
    <row r="284" spans="1:11" x14ac:dyDescent="0.25">
      <c r="A284" s="267"/>
      <c r="B284" s="1"/>
      <c r="C284" s="1"/>
      <c r="D284" s="105"/>
      <c r="E284" s="15"/>
      <c r="F284" s="41"/>
      <c r="G284" s="1"/>
      <c r="H284" s="1"/>
      <c r="I284" s="127" t="s">
        <v>249</v>
      </c>
      <c r="J284" s="92">
        <v>0</v>
      </c>
      <c r="K284" s="92">
        <v>4.4920000000000002E-2</v>
      </c>
    </row>
    <row r="285" spans="1:11" x14ac:dyDescent="0.25">
      <c r="A285" s="267"/>
      <c r="B285" s="1"/>
      <c r="C285" s="1"/>
      <c r="D285" s="105"/>
      <c r="E285" s="15"/>
      <c r="F285" s="41"/>
      <c r="G285" s="1"/>
      <c r="H285" s="1"/>
      <c r="I285" s="127" t="s">
        <v>196</v>
      </c>
      <c r="J285" s="92">
        <v>0.82381000000000004</v>
      </c>
      <c r="K285" s="92">
        <v>0</v>
      </c>
    </row>
    <row r="286" spans="1:11" x14ac:dyDescent="0.25">
      <c r="A286" s="267"/>
      <c r="B286" s="1"/>
      <c r="C286" s="1"/>
      <c r="D286" s="105"/>
      <c r="E286" s="15"/>
      <c r="F286" s="41"/>
      <c r="G286" s="1"/>
      <c r="H286" s="1"/>
      <c r="I286" s="127" t="s">
        <v>101</v>
      </c>
      <c r="J286" s="92">
        <f>0.17112+0.14638</f>
        <v>0.3175</v>
      </c>
      <c r="K286" s="92">
        <v>0.14252000000000001</v>
      </c>
    </row>
    <row r="287" spans="1:11" x14ac:dyDescent="0.25">
      <c r="A287" s="267"/>
      <c r="B287" s="1"/>
      <c r="C287" s="1"/>
      <c r="D287" s="105"/>
      <c r="E287" s="15"/>
      <c r="F287" s="41"/>
      <c r="G287" s="1"/>
      <c r="H287" s="1"/>
      <c r="I287" s="127" t="s">
        <v>250</v>
      </c>
      <c r="J287" s="92">
        <v>9.4000000000000004E-3</v>
      </c>
      <c r="K287" s="92">
        <v>0</v>
      </c>
    </row>
    <row r="288" spans="1:11" x14ac:dyDescent="0.25">
      <c r="A288" s="267"/>
      <c r="B288" s="1"/>
      <c r="C288" s="1"/>
      <c r="D288" s="105"/>
      <c r="E288" s="15"/>
      <c r="F288" s="41"/>
      <c r="G288" s="1"/>
      <c r="H288" s="1"/>
      <c r="I288" s="127" t="s">
        <v>251</v>
      </c>
      <c r="J288" s="92">
        <v>4.7940000000000003E-2</v>
      </c>
      <c r="K288" s="92">
        <v>0</v>
      </c>
    </row>
    <row r="289" spans="1:11" x14ac:dyDescent="0.25">
      <c r="A289" s="267"/>
      <c r="B289" s="1"/>
      <c r="C289" s="1"/>
      <c r="D289" s="105"/>
      <c r="E289" s="15"/>
      <c r="F289" s="41"/>
      <c r="G289" s="1"/>
      <c r="H289" s="1"/>
      <c r="I289" s="127" t="s">
        <v>252</v>
      </c>
      <c r="J289" s="92">
        <v>0.40255000000000002</v>
      </c>
      <c r="K289" s="92">
        <v>0</v>
      </c>
    </row>
    <row r="290" spans="1:11" x14ac:dyDescent="0.25">
      <c r="A290" s="267"/>
      <c r="B290" s="1"/>
      <c r="C290" s="1"/>
      <c r="D290" s="105"/>
      <c r="E290" s="15"/>
      <c r="F290" s="41"/>
      <c r="G290" s="1"/>
      <c r="H290" s="1"/>
      <c r="I290" s="127" t="s">
        <v>253</v>
      </c>
      <c r="J290" s="92">
        <v>0.87656999999999996</v>
      </c>
      <c r="K290" s="92">
        <v>0.10431</v>
      </c>
    </row>
    <row r="291" spans="1:11" x14ac:dyDescent="0.25">
      <c r="A291" s="267"/>
      <c r="B291" s="1"/>
      <c r="C291" s="1"/>
      <c r="D291" s="105"/>
      <c r="E291" s="15"/>
      <c r="F291" s="41"/>
      <c r="G291" s="1"/>
      <c r="H291" s="1"/>
      <c r="I291" s="127" t="s">
        <v>254</v>
      </c>
      <c r="J291" s="92">
        <f>0.5814+0.00586</f>
        <v>0.58726</v>
      </c>
      <c r="K291" s="92">
        <v>5.9279999999999999E-2</v>
      </c>
    </row>
    <row r="292" spans="1:11" x14ac:dyDescent="0.25">
      <c r="A292" s="267"/>
      <c r="B292" s="1"/>
      <c r="C292" s="1"/>
      <c r="D292" s="105"/>
      <c r="E292" s="15"/>
      <c r="F292" s="41"/>
      <c r="G292" s="1"/>
      <c r="H292" s="1"/>
      <c r="I292" s="127" t="s">
        <v>255</v>
      </c>
      <c r="J292" s="92">
        <v>0.4158</v>
      </c>
      <c r="K292" s="92">
        <v>0</v>
      </c>
    </row>
    <row r="293" spans="1:11" x14ac:dyDescent="0.25">
      <c r="A293" s="267"/>
      <c r="B293" s="1"/>
      <c r="C293" s="1"/>
      <c r="D293" s="105"/>
      <c r="E293" s="15"/>
      <c r="F293" s="41"/>
      <c r="G293" s="1"/>
      <c r="H293" s="1"/>
      <c r="I293" s="127" t="s">
        <v>258</v>
      </c>
      <c r="J293" s="92">
        <v>0</v>
      </c>
      <c r="K293" s="92">
        <v>2.7148300000000001</v>
      </c>
    </row>
    <row r="294" spans="1:11" x14ac:dyDescent="0.25">
      <c r="A294" s="268"/>
      <c r="B294" s="1"/>
      <c r="C294" s="1"/>
      <c r="D294" s="105"/>
      <c r="E294" s="15"/>
      <c r="F294" s="41"/>
      <c r="G294" s="1"/>
      <c r="H294" s="1"/>
      <c r="I294" s="127" t="s">
        <v>64</v>
      </c>
      <c r="J294" s="92">
        <v>7.7350000000000002E-2</v>
      </c>
      <c r="K294" s="92">
        <v>1.719E-2</v>
      </c>
    </row>
    <row r="295" spans="1:11" x14ac:dyDescent="0.25">
      <c r="A295" s="133"/>
      <c r="B295" s="1"/>
      <c r="C295" s="1"/>
      <c r="D295" s="105"/>
      <c r="E295" s="15"/>
      <c r="F295" s="41"/>
      <c r="G295" s="1"/>
      <c r="H295" s="1"/>
      <c r="I295" s="127" t="s">
        <v>51</v>
      </c>
      <c r="J295" s="92">
        <f>9.66223+0.88063</f>
        <v>10.542859999999999</v>
      </c>
      <c r="K295" s="139">
        <v>0</v>
      </c>
    </row>
    <row r="296" spans="1:11" x14ac:dyDescent="0.25">
      <c r="A296" s="133"/>
      <c r="B296" s="1"/>
      <c r="C296" s="1"/>
      <c r="D296" s="105"/>
      <c r="E296" s="15"/>
      <c r="F296" s="41"/>
      <c r="G296" s="1"/>
      <c r="H296" s="1"/>
      <c r="I296" s="127" t="s">
        <v>265</v>
      </c>
      <c r="J296" s="92">
        <f>0.00453+0.23625</f>
        <v>0.24077999999999999</v>
      </c>
      <c r="K296" s="92">
        <v>0</v>
      </c>
    </row>
    <row r="297" spans="1:11" x14ac:dyDescent="0.25">
      <c r="A297" s="133"/>
      <c r="B297" s="1"/>
      <c r="C297" s="1"/>
      <c r="D297" s="105"/>
      <c r="E297" s="15"/>
      <c r="F297" s="41"/>
      <c r="G297" s="1"/>
      <c r="H297" s="1"/>
      <c r="I297" s="127" t="s">
        <v>266</v>
      </c>
      <c r="J297" s="92">
        <v>7.2819999999999996E-2</v>
      </c>
      <c r="K297" s="92">
        <v>0</v>
      </c>
    </row>
    <row r="298" spans="1:11" x14ac:dyDescent="0.25">
      <c r="A298" s="133"/>
      <c r="B298" s="1"/>
      <c r="C298" s="1"/>
      <c r="D298" s="105"/>
      <c r="E298" s="15"/>
      <c r="F298" s="41"/>
      <c r="G298" s="1"/>
      <c r="H298" s="1"/>
      <c r="I298" s="127" t="s">
        <v>267</v>
      </c>
      <c r="J298" s="92">
        <v>9.6000000000000002E-2</v>
      </c>
      <c r="K298" s="92">
        <v>0</v>
      </c>
    </row>
    <row r="299" spans="1:11" x14ac:dyDescent="0.25">
      <c r="A299" s="133"/>
      <c r="B299" s="1"/>
      <c r="C299" s="1"/>
      <c r="D299" s="105"/>
      <c r="E299" s="15"/>
      <c r="F299" s="41"/>
      <c r="G299" s="1"/>
      <c r="H299" s="1"/>
      <c r="I299" s="127" t="s">
        <v>268</v>
      </c>
      <c r="J299" s="92">
        <v>0.12584000000000001</v>
      </c>
      <c r="K299" s="92">
        <v>0</v>
      </c>
    </row>
    <row r="300" spans="1:11" x14ac:dyDescent="0.25">
      <c r="A300" s="133"/>
      <c r="B300" s="1"/>
      <c r="C300" s="1"/>
      <c r="D300" s="105"/>
      <c r="E300" s="15"/>
      <c r="F300" s="41"/>
      <c r="G300" s="1"/>
      <c r="H300" s="1"/>
      <c r="I300" s="127" t="s">
        <v>269</v>
      </c>
      <c r="J300" s="92">
        <v>1.8996999999999999</v>
      </c>
      <c r="K300" s="92">
        <v>0</v>
      </c>
    </row>
    <row r="301" spans="1:11" x14ac:dyDescent="0.25">
      <c r="A301" s="133"/>
      <c r="B301" s="1"/>
      <c r="C301" s="1"/>
      <c r="D301" s="105"/>
      <c r="E301" s="15"/>
      <c r="F301" s="41"/>
      <c r="G301" s="1"/>
      <c r="H301" s="1"/>
      <c r="I301" s="127" t="s">
        <v>270</v>
      </c>
      <c r="J301" s="92">
        <f>0.69984+0.01285</f>
        <v>0.71269000000000005</v>
      </c>
      <c r="K301" s="92">
        <v>0</v>
      </c>
    </row>
    <row r="302" spans="1:11" x14ac:dyDescent="0.25">
      <c r="A302" s="133"/>
      <c r="B302" s="1"/>
      <c r="C302" s="1"/>
      <c r="D302" s="105"/>
      <c r="E302" s="15"/>
      <c r="F302" s="41"/>
      <c r="G302" s="1"/>
      <c r="H302" s="1"/>
      <c r="I302" s="127" t="s">
        <v>271</v>
      </c>
      <c r="J302" s="92">
        <v>0.75256000000000001</v>
      </c>
      <c r="K302" s="92">
        <v>0</v>
      </c>
    </row>
    <row r="303" spans="1:11" x14ac:dyDescent="0.25">
      <c r="A303" s="133"/>
      <c r="B303" s="1"/>
      <c r="C303" s="1"/>
      <c r="D303" s="105"/>
      <c r="E303" s="15"/>
      <c r="F303" s="41"/>
      <c r="G303" s="1"/>
      <c r="H303" s="1"/>
      <c r="I303" s="127" t="s">
        <v>212</v>
      </c>
      <c r="J303" s="92">
        <f>0.02085+0.08229</f>
        <v>0.10314000000000001</v>
      </c>
      <c r="K303" s="92">
        <v>0</v>
      </c>
    </row>
    <row r="304" spans="1:11" x14ac:dyDescent="0.25">
      <c r="A304" s="133"/>
      <c r="B304" s="1"/>
      <c r="C304" s="1"/>
      <c r="D304" s="105"/>
      <c r="E304" s="15"/>
      <c r="F304" s="41"/>
      <c r="G304" s="1"/>
      <c r="H304" s="1"/>
      <c r="I304" s="127" t="s">
        <v>272</v>
      </c>
      <c r="J304" s="92">
        <v>0.22599</v>
      </c>
      <c r="K304" s="92">
        <v>0</v>
      </c>
    </row>
    <row r="305" spans="1:11" x14ac:dyDescent="0.25">
      <c r="A305" s="133"/>
      <c r="B305" s="1"/>
      <c r="C305" s="1"/>
      <c r="D305" s="105"/>
      <c r="E305" s="15"/>
      <c r="F305" s="41"/>
      <c r="G305" s="1"/>
      <c r="H305" s="1"/>
      <c r="I305" s="127" t="s">
        <v>273</v>
      </c>
      <c r="J305" s="92">
        <f>0.05945+0.03964</f>
        <v>9.9090000000000011E-2</v>
      </c>
      <c r="K305" s="92">
        <v>0</v>
      </c>
    </row>
    <row r="306" spans="1:11" x14ac:dyDescent="0.25">
      <c r="A306" s="133"/>
      <c r="B306" s="1"/>
      <c r="C306" s="1"/>
      <c r="D306" s="105"/>
      <c r="E306" s="15"/>
      <c r="F306" s="41"/>
      <c r="G306" s="1"/>
      <c r="H306" s="1"/>
      <c r="I306" s="127" t="s">
        <v>109</v>
      </c>
      <c r="J306" s="92">
        <v>5.4140000000000001E-2</v>
      </c>
      <c r="K306" s="92">
        <v>0</v>
      </c>
    </row>
    <row r="307" spans="1:11" x14ac:dyDescent="0.25">
      <c r="A307" s="133"/>
      <c r="B307" s="1"/>
      <c r="C307" s="1"/>
      <c r="D307" s="105"/>
      <c r="E307" s="15"/>
      <c r="F307" s="41"/>
      <c r="G307" s="1"/>
      <c r="H307" s="1"/>
      <c r="I307" s="127" t="s">
        <v>159</v>
      </c>
      <c r="J307" s="92">
        <v>1.77325</v>
      </c>
      <c r="K307" s="92">
        <v>0</v>
      </c>
    </row>
    <row r="308" spans="1:11" x14ac:dyDescent="0.25">
      <c r="A308" s="133"/>
      <c r="B308" s="1"/>
      <c r="C308" s="1"/>
      <c r="D308" s="105"/>
      <c r="E308" s="15"/>
      <c r="F308" s="41"/>
      <c r="G308" s="1"/>
      <c r="H308" s="1"/>
      <c r="I308" s="127" t="s">
        <v>160</v>
      </c>
      <c r="J308" s="92">
        <v>5.6404699999999997</v>
      </c>
      <c r="K308" s="92">
        <v>0</v>
      </c>
    </row>
    <row r="309" spans="1:11" x14ac:dyDescent="0.25">
      <c r="A309" s="133"/>
      <c r="B309" s="1"/>
      <c r="C309" s="1"/>
      <c r="D309" s="105"/>
      <c r="E309" s="15"/>
      <c r="F309" s="41"/>
      <c r="G309" s="1"/>
      <c r="H309" s="1"/>
      <c r="I309" s="127" t="s">
        <v>62</v>
      </c>
      <c r="J309" s="92">
        <v>5.2269999999999997E-2</v>
      </c>
      <c r="K309" s="92">
        <v>0</v>
      </c>
    </row>
    <row r="310" spans="1:11" x14ac:dyDescent="0.25">
      <c r="A310" s="133"/>
      <c r="B310" s="1"/>
      <c r="C310" s="1"/>
      <c r="D310" s="105"/>
      <c r="E310" s="15"/>
      <c r="F310" s="41"/>
      <c r="G310" s="1"/>
      <c r="H310" s="1"/>
      <c r="I310" s="127" t="s">
        <v>63</v>
      </c>
      <c r="J310" s="92">
        <v>1.9041600000000001</v>
      </c>
      <c r="K310" s="92">
        <v>0</v>
      </c>
    </row>
    <row r="311" spans="1:11" x14ac:dyDescent="0.25">
      <c r="A311" s="133"/>
      <c r="B311" s="1"/>
      <c r="C311" s="1"/>
      <c r="D311" s="105"/>
      <c r="E311" s="15"/>
      <c r="F311" s="41"/>
      <c r="G311" s="1"/>
      <c r="H311" s="1"/>
      <c r="I311" s="127" t="s">
        <v>274</v>
      </c>
      <c r="J311" s="92">
        <v>3.11347</v>
      </c>
      <c r="K311" s="92">
        <v>0</v>
      </c>
    </row>
    <row r="312" spans="1:11" x14ac:dyDescent="0.25">
      <c r="A312" s="133"/>
      <c r="B312" s="1"/>
      <c r="C312" s="1"/>
      <c r="D312" s="105"/>
      <c r="E312" s="15"/>
      <c r="F312" s="41"/>
      <c r="G312" s="1"/>
      <c r="H312" s="1"/>
      <c r="I312" s="127" t="s">
        <v>218</v>
      </c>
      <c r="J312" s="92">
        <v>2.4503599999999999</v>
      </c>
      <c r="K312" s="92">
        <v>0</v>
      </c>
    </row>
    <row r="313" spans="1:11" x14ac:dyDescent="0.25">
      <c r="A313" s="133"/>
      <c r="B313" s="1"/>
      <c r="C313" s="1"/>
      <c r="D313" s="105"/>
      <c r="E313" s="15"/>
      <c r="F313" s="41"/>
      <c r="G313" s="1"/>
      <c r="H313" s="1"/>
      <c r="I313" s="127" t="s">
        <v>275</v>
      </c>
      <c r="J313" s="92">
        <f>0.71791</f>
        <v>0.71791000000000005</v>
      </c>
      <c r="K313" s="92">
        <v>0</v>
      </c>
    </row>
    <row r="314" spans="1:11" x14ac:dyDescent="0.25">
      <c r="A314" s="133"/>
      <c r="B314" s="1"/>
      <c r="C314" s="1"/>
      <c r="D314" s="105"/>
      <c r="E314" s="15"/>
      <c r="F314" s="41"/>
      <c r="G314" s="1"/>
      <c r="H314" s="1"/>
      <c r="I314" s="127" t="s">
        <v>220</v>
      </c>
      <c r="J314" s="92">
        <v>0.15684999999999999</v>
      </c>
      <c r="K314" s="92">
        <v>0</v>
      </c>
    </row>
    <row r="315" spans="1:11" x14ac:dyDescent="0.25">
      <c r="A315" s="133"/>
      <c r="B315" s="1"/>
      <c r="C315" s="1"/>
      <c r="D315" s="105"/>
      <c r="E315" s="15"/>
      <c r="F315" s="41"/>
      <c r="G315" s="1"/>
      <c r="H315" s="1"/>
      <c r="I315" s="127" t="s">
        <v>276</v>
      </c>
      <c r="J315" s="92">
        <v>8.7599999999999997E-2</v>
      </c>
      <c r="K315" s="92">
        <v>0</v>
      </c>
    </row>
    <row r="316" spans="1:11" x14ac:dyDescent="0.25">
      <c r="A316" s="133"/>
      <c r="B316" s="1"/>
      <c r="C316" s="1"/>
      <c r="D316" s="105"/>
      <c r="E316" s="15"/>
      <c r="F316" s="41"/>
      <c r="G316" s="1"/>
      <c r="H316" s="1"/>
      <c r="I316" s="127" t="s">
        <v>277</v>
      </c>
      <c r="J316" s="92">
        <v>1.86629</v>
      </c>
      <c r="K316" s="92">
        <v>0</v>
      </c>
    </row>
    <row r="317" spans="1:11" x14ac:dyDescent="0.25">
      <c r="A317" s="133"/>
      <c r="B317" s="1"/>
      <c r="C317" s="1"/>
      <c r="D317" s="105"/>
      <c r="E317" s="15"/>
      <c r="F317" s="41"/>
      <c r="G317" s="1"/>
      <c r="H317" s="1"/>
      <c r="I317" s="127" t="s">
        <v>278</v>
      </c>
      <c r="J317" s="92">
        <v>0.64175000000000004</v>
      </c>
      <c r="K317" s="92">
        <v>0</v>
      </c>
    </row>
    <row r="318" spans="1:11" x14ac:dyDescent="0.25">
      <c r="A318" s="133"/>
      <c r="B318" s="1"/>
      <c r="C318" s="1"/>
      <c r="D318" s="105"/>
      <c r="E318" s="15"/>
      <c r="F318" s="41"/>
      <c r="G318" s="1"/>
      <c r="H318" s="1"/>
      <c r="I318" s="127" t="s">
        <v>279</v>
      </c>
      <c r="J318" s="92">
        <v>1.9252499999999999</v>
      </c>
      <c r="K318" s="92">
        <v>0</v>
      </c>
    </row>
    <row r="319" spans="1:11" x14ac:dyDescent="0.25">
      <c r="A319" s="133"/>
      <c r="B319" s="1"/>
      <c r="C319" s="1"/>
      <c r="D319" s="105"/>
      <c r="E319" s="15"/>
      <c r="F319" s="41"/>
      <c r="G319" s="1"/>
      <c r="H319" s="1"/>
      <c r="I319" s="127" t="s">
        <v>280</v>
      </c>
      <c r="J319" s="92">
        <v>1.00627</v>
      </c>
      <c r="K319" s="92">
        <v>0</v>
      </c>
    </row>
    <row r="320" spans="1:11" x14ac:dyDescent="0.25">
      <c r="A320" s="133"/>
      <c r="B320" s="1"/>
      <c r="C320" s="1"/>
      <c r="D320" s="105"/>
      <c r="E320" s="15"/>
      <c r="F320" s="41"/>
      <c r="G320" s="1"/>
      <c r="H320" s="1"/>
      <c r="I320" s="127" t="s">
        <v>167</v>
      </c>
      <c r="J320" s="92">
        <f>0.28248+0.3531</f>
        <v>0.63558000000000003</v>
      </c>
      <c r="K320" s="92">
        <v>0</v>
      </c>
    </row>
    <row r="321" spans="1:11" x14ac:dyDescent="0.25">
      <c r="A321" s="133"/>
      <c r="B321" s="1"/>
      <c r="C321" s="1"/>
      <c r="D321" s="105"/>
      <c r="E321" s="15"/>
      <c r="F321" s="41"/>
      <c r="G321" s="1"/>
      <c r="H321" s="1"/>
      <c r="I321" s="127" t="s">
        <v>70</v>
      </c>
      <c r="J321" s="92">
        <v>0.50612999999999997</v>
      </c>
      <c r="K321" s="92">
        <v>0</v>
      </c>
    </row>
    <row r="322" spans="1:11" x14ac:dyDescent="0.25">
      <c r="A322" s="133"/>
      <c r="B322" s="1"/>
      <c r="C322" s="1"/>
      <c r="D322" s="105"/>
      <c r="E322" s="15"/>
      <c r="F322" s="41"/>
      <c r="G322" s="1"/>
      <c r="H322" s="1"/>
      <c r="I322" s="127" t="s">
        <v>225</v>
      </c>
      <c r="J322" s="92">
        <v>4.3892800000000003</v>
      </c>
      <c r="K322" s="92">
        <v>0</v>
      </c>
    </row>
    <row r="323" spans="1:11" x14ac:dyDescent="0.25">
      <c r="A323" s="133"/>
      <c r="B323" s="1"/>
      <c r="C323" s="1"/>
      <c r="D323" s="105"/>
      <c r="E323" s="15"/>
      <c r="F323" s="41"/>
      <c r="G323" s="1"/>
      <c r="H323" s="1"/>
      <c r="I323" s="127" t="s">
        <v>281</v>
      </c>
      <c r="J323" s="92">
        <f>1.15657+0.14249+0.6942</f>
        <v>1.9932600000000003</v>
      </c>
      <c r="K323" s="92">
        <v>0</v>
      </c>
    </row>
    <row r="324" spans="1:11" x14ac:dyDescent="0.25">
      <c r="A324" s="133"/>
      <c r="B324" s="1"/>
      <c r="C324" s="1"/>
      <c r="D324" s="105"/>
      <c r="E324" s="15"/>
      <c r="F324" s="41"/>
      <c r="G324" s="1"/>
      <c r="H324" s="1"/>
      <c r="I324" s="127" t="s">
        <v>282</v>
      </c>
      <c r="J324" s="92">
        <v>6.0010000000000001E-2</v>
      </c>
      <c r="K324" s="92">
        <v>0</v>
      </c>
    </row>
    <row r="325" spans="1:11" x14ac:dyDescent="0.25">
      <c r="A325" s="133"/>
      <c r="B325" s="1"/>
      <c r="C325" s="1"/>
      <c r="D325" s="105"/>
      <c r="E325" s="15"/>
      <c r="F325" s="41"/>
      <c r="G325" s="1"/>
      <c r="H325" s="1"/>
      <c r="I325" s="127" t="s">
        <v>283</v>
      </c>
      <c r="J325" s="92">
        <v>1.5779700000000001</v>
      </c>
      <c r="K325" s="92">
        <v>0</v>
      </c>
    </row>
    <row r="326" spans="1:11" x14ac:dyDescent="0.25">
      <c r="A326" s="133"/>
      <c r="B326" s="1"/>
      <c r="C326" s="1"/>
      <c r="D326" s="105"/>
      <c r="E326" s="15"/>
      <c r="F326" s="41"/>
      <c r="G326" s="1"/>
      <c r="H326" s="1"/>
      <c r="I326" s="127" t="s">
        <v>284</v>
      </c>
      <c r="J326" s="92">
        <f>0.18483</f>
        <v>0.18482999999999999</v>
      </c>
      <c r="K326" s="92">
        <v>0</v>
      </c>
    </row>
    <row r="327" spans="1:11" x14ac:dyDescent="0.25">
      <c r="A327" s="133"/>
      <c r="B327" s="1"/>
      <c r="C327" s="1"/>
      <c r="D327" s="105"/>
      <c r="E327" s="15"/>
      <c r="F327" s="41"/>
      <c r="G327" s="1"/>
      <c r="H327" s="1"/>
      <c r="I327" s="127" t="s">
        <v>285</v>
      </c>
      <c r="J327" s="92">
        <v>0.27306000000000002</v>
      </c>
      <c r="K327" s="92">
        <v>0</v>
      </c>
    </row>
    <row r="328" spans="1:11" x14ac:dyDescent="0.25">
      <c r="A328" s="133"/>
      <c r="B328" s="1"/>
      <c r="C328" s="1"/>
      <c r="D328" s="105"/>
      <c r="E328" s="15"/>
      <c r="F328" s="41"/>
      <c r="G328" s="1"/>
      <c r="H328" s="1"/>
      <c r="I328" s="127" t="s">
        <v>286</v>
      </c>
      <c r="J328" s="92">
        <v>9.0490000000000001E-2</v>
      </c>
      <c r="K328" s="92">
        <v>0</v>
      </c>
    </row>
    <row r="329" spans="1:11" x14ac:dyDescent="0.25">
      <c r="A329" s="133"/>
      <c r="B329" s="1"/>
      <c r="C329" s="1"/>
      <c r="D329" s="105"/>
      <c r="E329" s="15"/>
      <c r="F329" s="41"/>
      <c r="G329" s="1"/>
      <c r="H329" s="1"/>
      <c r="I329" s="127" t="s">
        <v>81</v>
      </c>
      <c r="J329" s="92">
        <v>0.29566999999999999</v>
      </c>
      <c r="K329" s="92">
        <v>0</v>
      </c>
    </row>
    <row r="330" spans="1:11" x14ac:dyDescent="0.25">
      <c r="A330" s="133"/>
      <c r="B330" s="1"/>
      <c r="C330" s="1"/>
      <c r="D330" s="105"/>
      <c r="E330" s="15"/>
      <c r="F330" s="41"/>
      <c r="G330" s="1"/>
      <c r="H330" s="1"/>
      <c r="I330" s="127" t="s">
        <v>287</v>
      </c>
      <c r="J330" s="92">
        <v>7.8478700000000003</v>
      </c>
      <c r="K330" s="92">
        <v>0</v>
      </c>
    </row>
    <row r="331" spans="1:11" x14ac:dyDescent="0.25">
      <c r="A331" s="133"/>
      <c r="B331" s="1"/>
      <c r="C331" s="1"/>
      <c r="D331" s="105"/>
      <c r="E331" s="15"/>
      <c r="F331" s="41"/>
      <c r="G331" s="1"/>
      <c r="H331" s="1"/>
      <c r="I331" s="127" t="s">
        <v>288</v>
      </c>
      <c r="J331" s="92">
        <f>4.03394+3.52026</f>
        <v>7.5541999999999998</v>
      </c>
      <c r="K331" s="92">
        <v>0</v>
      </c>
    </row>
    <row r="332" spans="1:11" x14ac:dyDescent="0.25">
      <c r="A332" s="133"/>
      <c r="B332" s="1"/>
      <c r="C332" s="1"/>
      <c r="D332" s="105"/>
      <c r="E332" s="15"/>
      <c r="F332" s="41"/>
      <c r="G332" s="1"/>
      <c r="H332" s="1"/>
      <c r="I332" s="127" t="s">
        <v>289</v>
      </c>
      <c r="J332" s="92">
        <v>7.8658099999999997</v>
      </c>
      <c r="K332" s="92">
        <v>0</v>
      </c>
    </row>
    <row r="333" spans="1:11" x14ac:dyDescent="0.25">
      <c r="A333" s="133"/>
      <c r="B333" s="1"/>
      <c r="C333" s="1"/>
      <c r="D333" s="105"/>
      <c r="E333" s="15"/>
      <c r="F333" s="41"/>
      <c r="G333" s="1"/>
      <c r="H333" s="1"/>
      <c r="I333" s="127" t="s">
        <v>290</v>
      </c>
      <c r="J333" s="92">
        <v>0.19003</v>
      </c>
      <c r="K333" s="92">
        <v>0</v>
      </c>
    </row>
    <row r="334" spans="1:11" x14ac:dyDescent="0.25">
      <c r="A334" s="133"/>
      <c r="B334" s="1"/>
      <c r="C334" s="1"/>
      <c r="D334" s="105"/>
      <c r="E334" s="15"/>
      <c r="F334" s="41"/>
      <c r="G334" s="1"/>
      <c r="H334" s="1"/>
      <c r="I334" s="127" t="s">
        <v>91</v>
      </c>
      <c r="J334" s="92">
        <v>2.7588900000000001</v>
      </c>
      <c r="K334" s="92">
        <v>0</v>
      </c>
    </row>
    <row r="335" spans="1:11" x14ac:dyDescent="0.25">
      <c r="A335" s="133"/>
      <c r="B335" s="1"/>
      <c r="C335" s="1"/>
      <c r="D335" s="105"/>
      <c r="E335" s="15"/>
      <c r="F335" s="41"/>
      <c r="G335" s="1"/>
      <c r="H335" s="1"/>
      <c r="I335" s="127" t="s">
        <v>291</v>
      </c>
      <c r="J335" s="92">
        <v>1.099</v>
      </c>
      <c r="K335" s="92">
        <v>0</v>
      </c>
    </row>
    <row r="336" spans="1:11" x14ac:dyDescent="0.25">
      <c r="A336" s="133"/>
      <c r="B336" s="1"/>
      <c r="C336" s="1"/>
      <c r="D336" s="105"/>
      <c r="E336" s="15"/>
      <c r="F336" s="41"/>
      <c r="G336" s="1"/>
      <c r="H336" s="1"/>
      <c r="I336" s="127" t="s">
        <v>93</v>
      </c>
      <c r="J336" s="92">
        <v>7.9000000000000001E-2</v>
      </c>
      <c r="K336" s="92">
        <v>0</v>
      </c>
    </row>
    <row r="337" spans="1:12" x14ac:dyDescent="0.25">
      <c r="A337" s="133"/>
      <c r="B337" s="1"/>
      <c r="C337" s="1"/>
      <c r="D337" s="105"/>
      <c r="E337" s="15"/>
      <c r="F337" s="41"/>
      <c r="G337" s="1"/>
      <c r="H337" s="1"/>
      <c r="I337" s="127" t="s">
        <v>197</v>
      </c>
      <c r="J337" s="92">
        <v>1.51755</v>
      </c>
      <c r="K337" s="92">
        <v>0</v>
      </c>
    </row>
    <row r="338" spans="1:12" x14ac:dyDescent="0.25">
      <c r="A338" s="133"/>
      <c r="B338" s="1"/>
      <c r="C338" s="1"/>
      <c r="D338" s="105"/>
      <c r="E338" s="15"/>
      <c r="F338" s="41"/>
      <c r="G338" s="1"/>
      <c r="H338" s="1"/>
      <c r="I338" s="127" t="s">
        <v>96</v>
      </c>
      <c r="J338" s="92">
        <v>9.4810099999999995</v>
      </c>
      <c r="K338" s="92">
        <v>0</v>
      </c>
    </row>
    <row r="339" spans="1:12" x14ac:dyDescent="0.25">
      <c r="A339" s="133"/>
      <c r="B339" s="1"/>
      <c r="C339" s="1"/>
      <c r="D339" s="105"/>
      <c r="E339" s="15"/>
      <c r="F339" s="41"/>
      <c r="G339" s="1"/>
      <c r="H339" s="1"/>
      <c r="I339" s="127" t="s">
        <v>191</v>
      </c>
      <c r="J339" s="92">
        <v>0.14504</v>
      </c>
      <c r="K339" s="92">
        <v>0</v>
      </c>
    </row>
    <row r="340" spans="1:12" x14ac:dyDescent="0.25">
      <c r="A340" s="133"/>
      <c r="B340" s="1"/>
      <c r="C340" s="1"/>
      <c r="D340" s="105"/>
      <c r="E340" s="15"/>
      <c r="F340" s="41"/>
      <c r="G340" s="1"/>
      <c r="H340" s="1"/>
      <c r="I340" s="127" t="s">
        <v>192</v>
      </c>
      <c r="J340" s="92">
        <v>0.21293999999999999</v>
      </c>
      <c r="K340" s="92">
        <v>0</v>
      </c>
    </row>
    <row r="341" spans="1:12" x14ac:dyDescent="0.25">
      <c r="A341" s="133"/>
      <c r="B341" s="1"/>
      <c r="C341" s="1"/>
      <c r="D341" s="105"/>
      <c r="E341" s="15"/>
      <c r="F341" s="41"/>
      <c r="G341" s="1"/>
      <c r="H341" s="1"/>
      <c r="I341" s="127" t="s">
        <v>292</v>
      </c>
      <c r="J341" s="92">
        <v>2.27075</v>
      </c>
      <c r="K341" s="92">
        <v>0</v>
      </c>
    </row>
    <row r="342" spans="1:12" x14ac:dyDescent="0.25">
      <c r="A342" s="133"/>
      <c r="B342" s="1"/>
      <c r="C342" s="1"/>
      <c r="D342" s="105"/>
      <c r="E342" s="15"/>
      <c r="F342" s="41"/>
      <c r="G342" s="1"/>
      <c r="H342" s="1"/>
      <c r="I342" s="127" t="s">
        <v>196</v>
      </c>
      <c r="J342" s="92">
        <v>2.14601</v>
      </c>
      <c r="K342" s="92">
        <v>0</v>
      </c>
    </row>
    <row r="343" spans="1:12" x14ac:dyDescent="0.25">
      <c r="A343" s="133"/>
      <c r="B343" s="1"/>
      <c r="C343" s="1"/>
      <c r="D343" s="105"/>
      <c r="E343" s="15"/>
      <c r="F343" s="41"/>
      <c r="G343" s="1"/>
      <c r="H343" s="1"/>
      <c r="I343" s="127" t="s">
        <v>293</v>
      </c>
      <c r="J343" s="92">
        <v>0.38640000000000002</v>
      </c>
      <c r="K343" s="92">
        <v>0</v>
      </c>
    </row>
    <row r="344" spans="1:12" ht="30" x14ac:dyDescent="0.25">
      <c r="A344" s="133"/>
      <c r="B344" s="1"/>
      <c r="C344" s="1"/>
      <c r="D344" s="105"/>
      <c r="E344" s="15"/>
      <c r="F344" s="41"/>
      <c r="G344" s="1"/>
      <c r="H344" s="1"/>
      <c r="I344" s="127" t="s">
        <v>294</v>
      </c>
      <c r="J344" s="92">
        <v>2.80185</v>
      </c>
      <c r="K344" s="92">
        <v>0</v>
      </c>
    </row>
    <row r="345" spans="1:12" x14ac:dyDescent="0.25">
      <c r="A345" s="133"/>
      <c r="B345" s="1"/>
      <c r="C345" s="1"/>
      <c r="D345" s="105"/>
      <c r="E345" s="15"/>
      <c r="F345" s="41"/>
      <c r="G345" s="1"/>
      <c r="H345" s="1"/>
      <c r="I345" s="127" t="s">
        <v>295</v>
      </c>
      <c r="J345" s="92">
        <v>0.93252999999999997</v>
      </c>
      <c r="K345" s="92">
        <v>0</v>
      </c>
    </row>
    <row r="346" spans="1:12" x14ac:dyDescent="0.25">
      <c r="A346" s="133"/>
      <c r="B346" s="1"/>
      <c r="C346" s="1"/>
      <c r="D346" s="105"/>
      <c r="E346" s="15"/>
      <c r="F346" s="41"/>
      <c r="G346" s="1"/>
      <c r="H346" s="1"/>
      <c r="I346" s="127" t="s">
        <v>296</v>
      </c>
      <c r="J346" s="92">
        <v>3.6249999999999998E-2</v>
      </c>
      <c r="K346" s="92">
        <v>0</v>
      </c>
    </row>
    <row r="347" spans="1:12" x14ac:dyDescent="0.25">
      <c r="A347" s="133"/>
      <c r="B347" s="1"/>
      <c r="C347" s="1"/>
      <c r="D347" s="105"/>
      <c r="E347" s="15"/>
      <c r="F347" s="41"/>
      <c r="G347" s="1"/>
      <c r="H347" s="1"/>
      <c r="I347" s="127" t="s">
        <v>203</v>
      </c>
      <c r="J347" s="92">
        <v>0.13627</v>
      </c>
      <c r="K347" s="92">
        <v>0</v>
      </c>
    </row>
    <row r="348" spans="1:12" x14ac:dyDescent="0.25">
      <c r="A348" s="262" t="s">
        <v>14</v>
      </c>
      <c r="B348" s="1"/>
      <c r="C348" s="1"/>
      <c r="D348" s="105"/>
      <c r="E348" s="1"/>
      <c r="F348" s="42">
        <v>0</v>
      </c>
      <c r="G348" s="1"/>
      <c r="H348" s="1"/>
      <c r="I348" s="128"/>
      <c r="J348" s="134"/>
      <c r="K348" s="140">
        <v>0</v>
      </c>
      <c r="L348" s="38"/>
    </row>
    <row r="349" spans="1:12" x14ac:dyDescent="0.25">
      <c r="A349" s="263"/>
      <c r="B349" s="1"/>
      <c r="C349" s="1"/>
      <c r="D349" s="105"/>
      <c r="E349" s="1"/>
      <c r="F349" s="41"/>
      <c r="G349" s="1"/>
      <c r="H349" s="1"/>
      <c r="I349" s="128"/>
      <c r="J349" s="92"/>
      <c r="K349" s="92"/>
    </row>
    <row r="350" spans="1:12" x14ac:dyDescent="0.25">
      <c r="A350" s="262" t="s">
        <v>15</v>
      </c>
      <c r="B350" s="1"/>
      <c r="C350" s="1"/>
      <c r="D350" s="105"/>
      <c r="E350" s="1"/>
      <c r="F350" s="42">
        <v>0</v>
      </c>
      <c r="G350" s="1"/>
      <c r="H350" s="1"/>
      <c r="I350" s="128"/>
      <c r="J350" s="92"/>
      <c r="K350" s="120">
        <v>0</v>
      </c>
    </row>
    <row r="351" spans="1:12" x14ac:dyDescent="0.25">
      <c r="A351" s="263"/>
      <c r="B351" s="1"/>
      <c r="C351" s="1"/>
      <c r="D351" s="105"/>
      <c r="E351" s="1"/>
      <c r="F351" s="41"/>
      <c r="G351" s="1"/>
      <c r="H351" s="1"/>
      <c r="I351" s="128"/>
      <c r="J351" s="92"/>
      <c r="K351" s="92"/>
    </row>
    <row r="352" spans="1:12" ht="33" customHeight="1" x14ac:dyDescent="0.25">
      <c r="A352" s="4" t="s">
        <v>16</v>
      </c>
      <c r="B352" s="1"/>
      <c r="C352" s="42">
        <f>14.691+C115</f>
        <v>33.356000000000002</v>
      </c>
      <c r="D352" s="106">
        <f>SUM(D13:D113)+SUM(D120:D206)</f>
        <v>430.33121000000006</v>
      </c>
      <c r="E352" s="6" t="s">
        <v>17</v>
      </c>
      <c r="F352" s="42">
        <f>C352+D352</f>
        <v>463.68721000000005</v>
      </c>
      <c r="G352" s="6" t="s">
        <v>17</v>
      </c>
      <c r="H352" s="138">
        <f>SUM(H115:H119)</f>
        <v>39.334000000000003</v>
      </c>
      <c r="I352" s="130" t="s">
        <v>17</v>
      </c>
      <c r="J352" s="120">
        <f>SUM(J13:J347)</f>
        <v>501.60539999999975</v>
      </c>
      <c r="K352" s="120">
        <f>SUM(K115:K347)+K113</f>
        <v>95.020220000000023</v>
      </c>
    </row>
    <row r="353" spans="1:11" ht="21.75" customHeight="1" x14ac:dyDescent="0.25">
      <c r="A353" s="70"/>
      <c r="B353" s="64"/>
      <c r="C353" s="71"/>
      <c r="D353" s="107"/>
      <c r="E353" s="73"/>
      <c r="F353" s="74"/>
      <c r="G353" s="73"/>
      <c r="H353" s="75"/>
      <c r="I353" s="131"/>
      <c r="J353" s="132"/>
      <c r="K353" s="132"/>
    </row>
    <row r="354" spans="1:11" x14ac:dyDescent="0.25">
      <c r="F354" s="78"/>
      <c r="G354" s="79"/>
    </row>
    <row r="355" spans="1:11" x14ac:dyDescent="0.25">
      <c r="B355" s="63" t="s">
        <v>130</v>
      </c>
      <c r="C355" s="65"/>
      <c r="D355" s="108"/>
      <c r="E355" s="65"/>
      <c r="F355" s="265" t="s">
        <v>133</v>
      </c>
      <c r="G355" s="265"/>
      <c r="H355" s="8"/>
      <c r="I355" s="112"/>
    </row>
    <row r="356" spans="1:11" x14ac:dyDescent="0.25">
      <c r="B356" s="63"/>
      <c r="C356" s="67"/>
      <c r="D356" s="109"/>
      <c r="E356" s="67"/>
      <c r="F356" s="88"/>
      <c r="G356" s="81"/>
      <c r="H356" s="8"/>
      <c r="I356" s="112"/>
    </row>
    <row r="357" spans="1:11" x14ac:dyDescent="0.25">
      <c r="B357" s="63"/>
      <c r="C357" s="8"/>
      <c r="D357" s="110"/>
      <c r="E357" s="8"/>
      <c r="F357" s="88"/>
      <c r="G357" s="81"/>
      <c r="H357" s="8"/>
      <c r="I357" s="112"/>
    </row>
    <row r="358" spans="1:11" x14ac:dyDescent="0.25">
      <c r="B358" s="63" t="s">
        <v>132</v>
      </c>
      <c r="C358" s="65"/>
      <c r="D358" s="108"/>
      <c r="E358" s="65"/>
      <c r="F358" s="265" t="s">
        <v>134</v>
      </c>
      <c r="G358" s="265"/>
      <c r="H358" s="8"/>
      <c r="I358" s="112"/>
    </row>
    <row r="359" spans="1:11" x14ac:dyDescent="0.25">
      <c r="B359" s="63"/>
      <c r="C359" s="67"/>
      <c r="D359" s="109"/>
      <c r="E359" s="67"/>
      <c r="F359" s="88"/>
      <c r="G359" s="81"/>
      <c r="H359" s="8"/>
      <c r="I359" s="112"/>
    </row>
    <row r="360" spans="1:11" s="31" customFormat="1" x14ac:dyDescent="0.25">
      <c r="A360"/>
      <c r="B360" s="63"/>
      <c r="C360" s="8"/>
      <c r="D360" s="110"/>
      <c r="E360" s="8"/>
      <c r="F360" s="88"/>
      <c r="G360" s="81"/>
      <c r="H360" s="8"/>
      <c r="I360" s="112"/>
      <c r="J360" s="113"/>
      <c r="K360" s="113"/>
    </row>
    <row r="361" spans="1:11" s="31" customFormat="1" x14ac:dyDescent="0.25">
      <c r="A361"/>
      <c r="B361" s="63" t="s">
        <v>131</v>
      </c>
      <c r="C361" s="65"/>
      <c r="D361" s="108"/>
      <c r="E361" s="65"/>
      <c r="F361" s="265" t="s">
        <v>135</v>
      </c>
      <c r="G361" s="265"/>
      <c r="H361" s="8"/>
      <c r="I361" s="112"/>
      <c r="J361" s="113"/>
      <c r="K361" s="113"/>
    </row>
  </sheetData>
  <mergeCells count="17">
    <mergeCell ref="F358:G358"/>
    <mergeCell ref="F361:G361"/>
    <mergeCell ref="K11:K12"/>
    <mergeCell ref="A13:A114"/>
    <mergeCell ref="A348:A349"/>
    <mergeCell ref="A350:A351"/>
    <mergeCell ref="F355:G355"/>
    <mergeCell ref="A115:A294"/>
    <mergeCell ref="D5:H5"/>
    <mergeCell ref="B6:J6"/>
    <mergeCell ref="B7:J7"/>
    <mergeCell ref="C8:I8"/>
    <mergeCell ref="A11:A12"/>
    <mergeCell ref="B11:B12"/>
    <mergeCell ref="C11:E11"/>
    <mergeCell ref="F11:F12"/>
    <mergeCell ref="G11:J11"/>
  </mergeCells>
  <pageMargins left="0.31496062992125984" right="0.11811023622047245" top="0.15748031496062992" bottom="0.15748031496062992" header="0" footer="0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9"/>
  <sheetViews>
    <sheetView topLeftCell="D208" zoomScaleNormal="100" workbookViewId="0">
      <selection activeCell="K210" sqref="K210"/>
    </sheetView>
  </sheetViews>
  <sheetFormatPr defaultRowHeight="15" x14ac:dyDescent="0.25"/>
  <cols>
    <col min="1" max="1" width="9.42578125" customWidth="1"/>
    <col min="2" max="2" width="19.85546875" customWidth="1"/>
    <col min="3" max="3" width="9.42578125" customWidth="1"/>
    <col min="4" max="4" width="10.85546875" style="95" customWidth="1"/>
    <col min="5" max="5" width="24.7109375" customWidth="1"/>
    <col min="6" max="6" width="11.7109375" style="38" customWidth="1"/>
    <col min="7" max="7" width="14" customWidth="1"/>
    <col min="8" max="8" width="10" customWidth="1"/>
    <col min="9" max="9" width="26.140625" style="117" customWidth="1"/>
    <col min="10" max="10" width="9.42578125" style="113" customWidth="1"/>
    <col min="11" max="11" width="17.28515625" style="113" customWidth="1"/>
  </cols>
  <sheetData>
    <row r="1" spans="1:11" x14ac:dyDescent="0.25">
      <c r="I1" s="112" t="s">
        <v>19</v>
      </c>
    </row>
    <row r="2" spans="1:11" x14ac:dyDescent="0.25">
      <c r="I2" s="112" t="s">
        <v>20</v>
      </c>
    </row>
    <row r="3" spans="1:11" x14ac:dyDescent="0.25">
      <c r="I3" s="112" t="s">
        <v>21</v>
      </c>
    </row>
    <row r="5" spans="1:11" ht="18.75" x14ac:dyDescent="0.3">
      <c r="B5" s="10"/>
      <c r="C5" s="10"/>
      <c r="D5" s="257" t="s">
        <v>18</v>
      </c>
      <c r="E5" s="257"/>
      <c r="F5" s="257"/>
      <c r="G5" s="257"/>
      <c r="H5" s="257"/>
      <c r="I5" s="114"/>
      <c r="J5" s="115"/>
    </row>
    <row r="6" spans="1:11" ht="18.75" x14ac:dyDescent="0.3">
      <c r="B6" s="258" t="s">
        <v>49</v>
      </c>
      <c r="C6" s="258"/>
      <c r="D6" s="258"/>
      <c r="E6" s="258"/>
      <c r="F6" s="258"/>
      <c r="G6" s="258"/>
      <c r="H6" s="258"/>
      <c r="I6" s="258"/>
      <c r="J6" s="258"/>
    </row>
    <row r="7" spans="1:11" ht="18.75" x14ac:dyDescent="0.3">
      <c r="B7" s="259" t="s">
        <v>137</v>
      </c>
      <c r="C7" s="259"/>
      <c r="D7" s="259"/>
      <c r="E7" s="259"/>
      <c r="F7" s="259"/>
      <c r="G7" s="259"/>
      <c r="H7" s="259"/>
      <c r="I7" s="259"/>
      <c r="J7" s="259"/>
    </row>
    <row r="8" spans="1:11" x14ac:dyDescent="0.25">
      <c r="B8" s="9"/>
      <c r="C8" s="260" t="s">
        <v>50</v>
      </c>
      <c r="D8" s="260"/>
      <c r="E8" s="260"/>
      <c r="F8" s="261"/>
      <c r="G8" s="261"/>
      <c r="H8" s="261"/>
      <c r="I8" s="261"/>
      <c r="J8" s="116"/>
    </row>
    <row r="9" spans="1:11" x14ac:dyDescent="0.25">
      <c r="D9" s="96"/>
      <c r="E9" s="7"/>
      <c r="F9" s="39"/>
      <c r="G9" s="7"/>
      <c r="H9" s="7"/>
    </row>
    <row r="11" spans="1:11" ht="56.25" customHeight="1" x14ac:dyDescent="0.25">
      <c r="A11" s="264" t="s">
        <v>0</v>
      </c>
      <c r="B11" s="264" t="s">
        <v>1</v>
      </c>
      <c r="C11" s="256" t="s">
        <v>2</v>
      </c>
      <c r="D11" s="256"/>
      <c r="E11" s="256"/>
      <c r="F11" s="254" t="s">
        <v>6</v>
      </c>
      <c r="G11" s="255" t="s">
        <v>7</v>
      </c>
      <c r="H11" s="255"/>
      <c r="I11" s="255"/>
      <c r="J11" s="255"/>
      <c r="K11" s="269" t="s">
        <v>11</v>
      </c>
    </row>
    <row r="12" spans="1:11" ht="90.75" customHeight="1" x14ac:dyDescent="0.25">
      <c r="A12" s="264"/>
      <c r="B12" s="264"/>
      <c r="C12" s="141" t="s">
        <v>3</v>
      </c>
      <c r="D12" s="97" t="s">
        <v>4</v>
      </c>
      <c r="E12" s="12" t="s">
        <v>5</v>
      </c>
      <c r="F12" s="254"/>
      <c r="G12" s="143" t="s">
        <v>8</v>
      </c>
      <c r="H12" s="141" t="s">
        <v>9</v>
      </c>
      <c r="I12" s="118" t="s">
        <v>10</v>
      </c>
      <c r="J12" s="98" t="s">
        <v>9</v>
      </c>
      <c r="K12" s="269"/>
    </row>
    <row r="13" spans="1:11" ht="51" customHeight="1" x14ac:dyDescent="0.3">
      <c r="A13" s="262" t="s">
        <v>13</v>
      </c>
      <c r="B13" s="52" t="s">
        <v>22</v>
      </c>
      <c r="C13" s="44"/>
      <c r="D13" s="98">
        <v>10.39</v>
      </c>
      <c r="E13" s="13" t="s">
        <v>23</v>
      </c>
      <c r="F13" s="40">
        <f>D13</f>
        <v>10.39</v>
      </c>
      <c r="G13" s="45"/>
      <c r="H13" s="45"/>
      <c r="I13" s="119" t="s">
        <v>23</v>
      </c>
      <c r="J13" s="98">
        <v>10.39</v>
      </c>
      <c r="K13" s="120">
        <v>0</v>
      </c>
    </row>
    <row r="14" spans="1:11" x14ac:dyDescent="0.25">
      <c r="A14" s="266"/>
      <c r="B14" s="45"/>
      <c r="C14" s="44"/>
      <c r="D14" s="98">
        <f>0.14+0.14</f>
        <v>0.28000000000000003</v>
      </c>
      <c r="E14" s="13" t="s">
        <v>24</v>
      </c>
      <c r="F14" s="40">
        <f t="shared" ref="F14:F77" si="0">D14</f>
        <v>0.28000000000000003</v>
      </c>
      <c r="G14" s="45"/>
      <c r="H14" s="45"/>
      <c r="I14" s="119" t="s">
        <v>24</v>
      </c>
      <c r="J14" s="101">
        <f>0.14+0.14</f>
        <v>0.28000000000000003</v>
      </c>
      <c r="K14" s="101">
        <v>0</v>
      </c>
    </row>
    <row r="15" spans="1:11" ht="51" customHeight="1" x14ac:dyDescent="0.25">
      <c r="A15" s="267"/>
      <c r="B15" s="45"/>
      <c r="C15" s="44"/>
      <c r="D15" s="98">
        <v>4.3499999999999996</v>
      </c>
      <c r="E15" s="13" t="s">
        <v>117</v>
      </c>
      <c r="F15" s="40">
        <f t="shared" si="0"/>
        <v>4.3499999999999996</v>
      </c>
      <c r="G15" s="45"/>
      <c r="H15" s="45"/>
      <c r="I15" s="119" t="s">
        <v>117</v>
      </c>
      <c r="J15" s="98">
        <v>4.3499999999999996</v>
      </c>
      <c r="K15" s="101">
        <v>0</v>
      </c>
    </row>
    <row r="16" spans="1:11" x14ac:dyDescent="0.25">
      <c r="A16" s="267"/>
      <c r="B16" s="45"/>
      <c r="C16" s="44"/>
      <c r="D16" s="98">
        <v>4.1539999999999999</v>
      </c>
      <c r="E16" s="13" t="s">
        <v>25</v>
      </c>
      <c r="F16" s="40">
        <f t="shared" si="0"/>
        <v>4.1539999999999999</v>
      </c>
      <c r="G16" s="45"/>
      <c r="H16" s="45"/>
      <c r="I16" s="119" t="s">
        <v>25</v>
      </c>
      <c r="J16" s="98">
        <v>4.1539999999999999</v>
      </c>
      <c r="K16" s="101">
        <v>0</v>
      </c>
    </row>
    <row r="17" spans="1:11" ht="30" customHeight="1" x14ac:dyDescent="0.25">
      <c r="A17" s="267"/>
      <c r="B17" s="45"/>
      <c r="C17" s="44"/>
      <c r="D17" s="98">
        <v>10.898999999999999</v>
      </c>
      <c r="E17" s="13" t="s">
        <v>26</v>
      </c>
      <c r="F17" s="40">
        <f t="shared" si="0"/>
        <v>10.898999999999999</v>
      </c>
      <c r="G17" s="45"/>
      <c r="H17" s="45"/>
      <c r="I17" s="119" t="s">
        <v>26</v>
      </c>
      <c r="J17" s="98">
        <v>10.898999999999999</v>
      </c>
      <c r="K17" s="101">
        <v>0</v>
      </c>
    </row>
    <row r="18" spans="1:11" ht="32.25" customHeight="1" x14ac:dyDescent="0.25">
      <c r="A18" s="267"/>
      <c r="B18" s="45"/>
      <c r="C18" s="44"/>
      <c r="D18" s="98">
        <v>0.3</v>
      </c>
      <c r="E18" s="13" t="s">
        <v>115</v>
      </c>
      <c r="F18" s="40">
        <f t="shared" si="0"/>
        <v>0.3</v>
      </c>
      <c r="G18" s="45"/>
      <c r="H18" s="45"/>
      <c r="I18" s="119" t="s">
        <v>116</v>
      </c>
      <c r="J18" s="98">
        <v>0.3</v>
      </c>
      <c r="K18" s="101">
        <v>0</v>
      </c>
    </row>
    <row r="19" spans="1:11" ht="31.5" customHeight="1" x14ac:dyDescent="0.25">
      <c r="A19" s="267"/>
      <c r="B19" s="45"/>
      <c r="C19" s="44"/>
      <c r="D19" s="99">
        <v>0.27</v>
      </c>
      <c r="E19" s="14" t="s">
        <v>27</v>
      </c>
      <c r="F19" s="40">
        <f t="shared" si="0"/>
        <v>0.27</v>
      </c>
      <c r="G19" s="45"/>
      <c r="H19" s="45"/>
      <c r="I19" s="121" t="s">
        <v>27</v>
      </c>
      <c r="J19" s="99">
        <v>0.27</v>
      </c>
      <c r="K19" s="101">
        <v>0</v>
      </c>
    </row>
    <row r="20" spans="1:11" x14ac:dyDescent="0.25">
      <c r="A20" s="267"/>
      <c r="B20" s="45"/>
      <c r="C20" s="44"/>
      <c r="D20" s="98">
        <v>0.63</v>
      </c>
      <c r="E20" s="13" t="s">
        <v>113</v>
      </c>
      <c r="F20" s="40">
        <f t="shared" si="0"/>
        <v>0.63</v>
      </c>
      <c r="G20" s="45"/>
      <c r="H20" s="45"/>
      <c r="I20" s="119" t="s">
        <v>113</v>
      </c>
      <c r="J20" s="98">
        <v>0.63</v>
      </c>
      <c r="K20" s="101">
        <v>0</v>
      </c>
    </row>
    <row r="21" spans="1:11" ht="30" x14ac:dyDescent="0.25">
      <c r="A21" s="267"/>
      <c r="B21" s="45"/>
      <c r="C21" s="44"/>
      <c r="D21" s="98">
        <v>1.1399999999999999</v>
      </c>
      <c r="E21" s="13" t="s">
        <v>28</v>
      </c>
      <c r="F21" s="40">
        <f t="shared" si="0"/>
        <v>1.1399999999999999</v>
      </c>
      <c r="G21" s="45"/>
      <c r="H21" s="45"/>
      <c r="I21" s="119" t="s">
        <v>28</v>
      </c>
      <c r="J21" s="98">
        <v>1.1399999999999999</v>
      </c>
      <c r="K21" s="101">
        <v>0</v>
      </c>
    </row>
    <row r="22" spans="1:11" x14ac:dyDescent="0.25">
      <c r="A22" s="267"/>
      <c r="B22" s="45"/>
      <c r="C22" s="44"/>
      <c r="D22" s="98">
        <v>1.165</v>
      </c>
      <c r="E22" s="13" t="s">
        <v>29</v>
      </c>
      <c r="F22" s="40">
        <f t="shared" si="0"/>
        <v>1.165</v>
      </c>
      <c r="G22" s="45"/>
      <c r="H22" s="45"/>
      <c r="I22" s="119" t="s">
        <v>29</v>
      </c>
      <c r="J22" s="98">
        <v>1.165</v>
      </c>
      <c r="K22" s="101">
        <v>0</v>
      </c>
    </row>
    <row r="23" spans="1:11" x14ac:dyDescent="0.25">
      <c r="A23" s="267"/>
      <c r="B23" s="45"/>
      <c r="C23" s="44"/>
      <c r="D23" s="98">
        <v>2.4540000000000002</v>
      </c>
      <c r="E23" s="13" t="s">
        <v>30</v>
      </c>
      <c r="F23" s="40">
        <f t="shared" si="0"/>
        <v>2.4540000000000002</v>
      </c>
      <c r="G23" s="45"/>
      <c r="H23" s="45"/>
      <c r="I23" s="119" t="s">
        <v>30</v>
      </c>
      <c r="J23" s="98">
        <v>2.4540000000000002</v>
      </c>
      <c r="K23" s="101">
        <v>0</v>
      </c>
    </row>
    <row r="24" spans="1:11" x14ac:dyDescent="0.25">
      <c r="A24" s="267"/>
      <c r="B24" s="45"/>
      <c r="C24" s="45"/>
      <c r="D24" s="100">
        <v>0.19</v>
      </c>
      <c r="E24" s="48" t="s">
        <v>31</v>
      </c>
      <c r="F24" s="40">
        <f t="shared" si="0"/>
        <v>0.19</v>
      </c>
      <c r="G24" s="45"/>
      <c r="H24" s="45"/>
      <c r="I24" s="122" t="s">
        <v>31</v>
      </c>
      <c r="J24" s="100">
        <v>0.19</v>
      </c>
      <c r="K24" s="101">
        <v>0</v>
      </c>
    </row>
    <row r="25" spans="1:11" x14ac:dyDescent="0.25">
      <c r="A25" s="267"/>
      <c r="B25" s="45"/>
      <c r="C25" s="45"/>
      <c r="D25" s="101">
        <v>0.19</v>
      </c>
      <c r="E25" s="45" t="s">
        <v>32</v>
      </c>
      <c r="F25" s="40">
        <f t="shared" si="0"/>
        <v>0.19</v>
      </c>
      <c r="G25" s="45"/>
      <c r="H25" s="45"/>
      <c r="I25" s="123" t="s">
        <v>32</v>
      </c>
      <c r="J25" s="101">
        <v>0.19</v>
      </c>
      <c r="K25" s="101">
        <v>0</v>
      </c>
    </row>
    <row r="26" spans="1:11" ht="36" customHeight="1" x14ac:dyDescent="0.3">
      <c r="A26" s="267"/>
      <c r="B26" s="52" t="s">
        <v>33</v>
      </c>
      <c r="C26" s="45"/>
      <c r="D26" s="101">
        <v>2.2000000000000002</v>
      </c>
      <c r="E26" s="53" t="s">
        <v>34</v>
      </c>
      <c r="F26" s="40">
        <f t="shared" si="0"/>
        <v>2.2000000000000002</v>
      </c>
      <c r="G26" s="45"/>
      <c r="H26" s="53"/>
      <c r="I26" s="124" t="s">
        <v>34</v>
      </c>
      <c r="J26" s="101">
        <v>2.2000000000000002</v>
      </c>
      <c r="K26" s="101">
        <v>0</v>
      </c>
    </row>
    <row r="27" spans="1:11" ht="29.25" customHeight="1" x14ac:dyDescent="0.25">
      <c r="A27" s="267"/>
      <c r="B27" s="45"/>
      <c r="C27" s="45"/>
      <c r="D27" s="101">
        <v>2</v>
      </c>
      <c r="E27" s="53" t="s">
        <v>34</v>
      </c>
      <c r="F27" s="40">
        <f t="shared" si="0"/>
        <v>2</v>
      </c>
      <c r="G27" s="45"/>
      <c r="H27" s="45"/>
      <c r="I27" s="124" t="s">
        <v>34</v>
      </c>
      <c r="J27" s="101">
        <v>2</v>
      </c>
      <c r="K27" s="101">
        <v>0</v>
      </c>
    </row>
    <row r="28" spans="1:11" ht="46.5" customHeight="1" x14ac:dyDescent="0.25">
      <c r="A28" s="267"/>
      <c r="B28" s="45"/>
      <c r="C28" s="45"/>
      <c r="D28" s="101">
        <v>0.69499999999999995</v>
      </c>
      <c r="E28" s="55" t="s">
        <v>118</v>
      </c>
      <c r="F28" s="40">
        <f t="shared" si="0"/>
        <v>0.69499999999999995</v>
      </c>
      <c r="G28" s="45"/>
      <c r="H28" s="45"/>
      <c r="I28" s="125" t="s">
        <v>118</v>
      </c>
      <c r="J28" s="101">
        <v>0.69499999999999995</v>
      </c>
      <c r="K28" s="101">
        <v>0</v>
      </c>
    </row>
    <row r="29" spans="1:11" ht="30.75" customHeight="1" x14ac:dyDescent="0.25">
      <c r="A29" s="267"/>
      <c r="B29" s="45"/>
      <c r="C29" s="45"/>
      <c r="D29" s="101">
        <f>0.3+0.3</f>
        <v>0.6</v>
      </c>
      <c r="E29" s="55" t="s">
        <v>119</v>
      </c>
      <c r="F29" s="40">
        <f t="shared" si="0"/>
        <v>0.6</v>
      </c>
      <c r="G29" s="45"/>
      <c r="H29" s="45"/>
      <c r="I29" s="125" t="s">
        <v>35</v>
      </c>
      <c r="J29" s="101">
        <f>0.3+0.3</f>
        <v>0.6</v>
      </c>
      <c r="K29" s="101">
        <v>0</v>
      </c>
    </row>
    <row r="30" spans="1:11" x14ac:dyDescent="0.25">
      <c r="A30" s="267"/>
      <c r="B30" s="45"/>
      <c r="C30" s="45"/>
      <c r="D30" s="101">
        <f>0.14+0.14</f>
        <v>0.28000000000000003</v>
      </c>
      <c r="E30" s="45" t="s">
        <v>24</v>
      </c>
      <c r="F30" s="40">
        <f t="shared" si="0"/>
        <v>0.28000000000000003</v>
      </c>
      <c r="G30" s="45"/>
      <c r="H30" s="45"/>
      <c r="I30" s="123" t="s">
        <v>24</v>
      </c>
      <c r="J30" s="101">
        <f>0.14+0.14</f>
        <v>0.28000000000000003</v>
      </c>
      <c r="K30" s="101">
        <v>0</v>
      </c>
    </row>
    <row r="31" spans="1:11" x14ac:dyDescent="0.25">
      <c r="A31" s="267"/>
      <c r="B31" s="45"/>
      <c r="C31" s="45"/>
      <c r="D31" s="101">
        <f>1.462</f>
        <v>1.462</v>
      </c>
      <c r="E31" s="45" t="s">
        <v>36</v>
      </c>
      <c r="F31" s="40">
        <f t="shared" si="0"/>
        <v>1.462</v>
      </c>
      <c r="G31" s="45"/>
      <c r="H31" s="45"/>
      <c r="I31" s="123" t="s">
        <v>36</v>
      </c>
      <c r="J31" s="101">
        <f>1.462</f>
        <v>1.462</v>
      </c>
      <c r="K31" s="101">
        <v>0</v>
      </c>
    </row>
    <row r="32" spans="1:11" ht="15.75" customHeight="1" x14ac:dyDescent="0.25">
      <c r="A32" s="267"/>
      <c r="B32" s="45"/>
      <c r="C32" s="45"/>
      <c r="D32" s="101">
        <f>4.154*2</f>
        <v>8.3079999999999998</v>
      </c>
      <c r="E32" s="55" t="s">
        <v>37</v>
      </c>
      <c r="F32" s="40">
        <f t="shared" si="0"/>
        <v>8.3079999999999998</v>
      </c>
      <c r="G32" s="45"/>
      <c r="H32" s="45"/>
      <c r="I32" s="125" t="s">
        <v>37</v>
      </c>
      <c r="J32" s="101">
        <f>4.154*2</f>
        <v>8.3079999999999998</v>
      </c>
      <c r="K32" s="101">
        <v>0</v>
      </c>
    </row>
    <row r="33" spans="1:11" ht="55.5" customHeight="1" x14ac:dyDescent="0.25">
      <c r="A33" s="267"/>
      <c r="B33" s="45"/>
      <c r="C33" s="45"/>
      <c r="D33" s="101">
        <f>20.78</f>
        <v>20.78</v>
      </c>
      <c r="E33" s="13" t="s">
        <v>23</v>
      </c>
      <c r="F33" s="40">
        <f t="shared" si="0"/>
        <v>20.78</v>
      </c>
      <c r="G33" s="45"/>
      <c r="H33" s="45"/>
      <c r="I33" s="119" t="s">
        <v>23</v>
      </c>
      <c r="J33" s="101">
        <f>20.78</f>
        <v>20.78</v>
      </c>
      <c r="K33" s="101">
        <v>0</v>
      </c>
    </row>
    <row r="34" spans="1:11" ht="32.25" customHeight="1" x14ac:dyDescent="0.25">
      <c r="A34" s="267"/>
      <c r="B34" s="45"/>
      <c r="C34" s="45"/>
      <c r="D34" s="101">
        <v>0.6</v>
      </c>
      <c r="E34" s="13" t="s">
        <v>38</v>
      </c>
      <c r="F34" s="40">
        <f t="shared" si="0"/>
        <v>0.6</v>
      </c>
      <c r="G34" s="45"/>
      <c r="H34" s="45"/>
      <c r="I34" s="119" t="s">
        <v>38</v>
      </c>
      <c r="J34" s="101">
        <v>0.6</v>
      </c>
      <c r="K34" s="101">
        <v>0</v>
      </c>
    </row>
    <row r="35" spans="1:11" ht="13.5" customHeight="1" x14ac:dyDescent="0.25">
      <c r="A35" s="267"/>
      <c r="B35" s="45"/>
      <c r="C35" s="45"/>
      <c r="D35" s="101">
        <v>0.25</v>
      </c>
      <c r="E35" s="13" t="s">
        <v>39</v>
      </c>
      <c r="F35" s="40">
        <f t="shared" si="0"/>
        <v>0.25</v>
      </c>
      <c r="G35" s="45"/>
      <c r="H35" s="45"/>
      <c r="I35" s="119" t="s">
        <v>39</v>
      </c>
      <c r="J35" s="101">
        <v>0.25</v>
      </c>
      <c r="K35" s="101">
        <v>0</v>
      </c>
    </row>
    <row r="36" spans="1:11" ht="35.25" customHeight="1" x14ac:dyDescent="0.25">
      <c r="A36" s="267"/>
      <c r="B36" s="45"/>
      <c r="C36" s="45"/>
      <c r="D36" s="101">
        <f>0.285+0.27</f>
        <v>0.55499999999999994</v>
      </c>
      <c r="E36" s="13" t="s">
        <v>40</v>
      </c>
      <c r="F36" s="40">
        <f t="shared" si="0"/>
        <v>0.55499999999999994</v>
      </c>
      <c r="G36" s="45"/>
      <c r="H36" s="45"/>
      <c r="I36" s="119" t="s">
        <v>40</v>
      </c>
      <c r="J36" s="101">
        <f>0.285+0.27</f>
        <v>0.55499999999999994</v>
      </c>
      <c r="K36" s="101">
        <v>0</v>
      </c>
    </row>
    <row r="37" spans="1:11" ht="35.25" customHeight="1" x14ac:dyDescent="0.25">
      <c r="A37" s="267"/>
      <c r="B37" s="45"/>
      <c r="C37" s="45"/>
      <c r="D37" s="101">
        <f>0.27+0.285</f>
        <v>0.55499999999999994</v>
      </c>
      <c r="E37" s="14" t="s">
        <v>27</v>
      </c>
      <c r="F37" s="40">
        <f t="shared" si="0"/>
        <v>0.55499999999999994</v>
      </c>
      <c r="G37" s="45"/>
      <c r="H37" s="45"/>
      <c r="I37" s="121" t="s">
        <v>27</v>
      </c>
      <c r="J37" s="101">
        <f>0.27+0.285</f>
        <v>0.55499999999999994</v>
      </c>
      <c r="K37" s="101">
        <v>0</v>
      </c>
    </row>
    <row r="38" spans="1:11" x14ac:dyDescent="0.25">
      <c r="A38" s="267"/>
      <c r="B38" s="45"/>
      <c r="C38" s="45"/>
      <c r="D38" s="101">
        <v>1.1359999999999999</v>
      </c>
      <c r="E38" s="13" t="s">
        <v>41</v>
      </c>
      <c r="F38" s="40">
        <f t="shared" si="0"/>
        <v>1.1359999999999999</v>
      </c>
      <c r="G38" s="45"/>
      <c r="H38" s="45"/>
      <c r="I38" s="119" t="s">
        <v>41</v>
      </c>
      <c r="J38" s="101">
        <v>1.1359999999999999</v>
      </c>
      <c r="K38" s="101">
        <v>0</v>
      </c>
    </row>
    <row r="39" spans="1:11" ht="33" customHeight="1" x14ac:dyDescent="0.25">
      <c r="A39" s="267"/>
      <c r="B39" s="45"/>
      <c r="C39" s="45"/>
      <c r="D39" s="101">
        <v>1.28</v>
      </c>
      <c r="E39" s="13" t="s">
        <v>42</v>
      </c>
      <c r="F39" s="40">
        <f t="shared" si="0"/>
        <v>1.28</v>
      </c>
      <c r="G39" s="45"/>
      <c r="H39" s="45"/>
      <c r="I39" s="119" t="s">
        <v>42</v>
      </c>
      <c r="J39" s="101">
        <v>1.28</v>
      </c>
      <c r="K39" s="101">
        <v>0</v>
      </c>
    </row>
    <row r="40" spans="1:11" ht="31.5" customHeight="1" x14ac:dyDescent="0.25">
      <c r="A40" s="267"/>
      <c r="B40" s="45"/>
      <c r="C40" s="45"/>
      <c r="D40" s="101">
        <v>1.1399999999999999</v>
      </c>
      <c r="E40" s="13" t="s">
        <v>28</v>
      </c>
      <c r="F40" s="40">
        <f t="shared" si="0"/>
        <v>1.1399999999999999</v>
      </c>
      <c r="G40" s="45"/>
      <c r="H40" s="45"/>
      <c r="I40" s="119" t="s">
        <v>28</v>
      </c>
      <c r="J40" s="101">
        <v>1.1399999999999999</v>
      </c>
      <c r="K40" s="101">
        <v>0</v>
      </c>
    </row>
    <row r="41" spans="1:11" ht="21" customHeight="1" x14ac:dyDescent="0.25">
      <c r="A41" s="267"/>
      <c r="B41" s="45"/>
      <c r="C41" s="45"/>
      <c r="D41" s="101">
        <v>2.75</v>
      </c>
      <c r="E41" s="13" t="s">
        <v>43</v>
      </c>
      <c r="F41" s="40">
        <f t="shared" si="0"/>
        <v>2.75</v>
      </c>
      <c r="G41" s="45"/>
      <c r="H41" s="45"/>
      <c r="I41" s="119" t="s">
        <v>43</v>
      </c>
      <c r="J41" s="101">
        <v>2.75</v>
      </c>
      <c r="K41" s="101">
        <v>0</v>
      </c>
    </row>
    <row r="42" spans="1:11" ht="29.25" customHeight="1" x14ac:dyDescent="0.25">
      <c r="A42" s="267"/>
      <c r="B42" s="45"/>
      <c r="C42" s="45"/>
      <c r="D42" s="101">
        <v>2.33</v>
      </c>
      <c r="E42" s="55" t="s">
        <v>44</v>
      </c>
      <c r="F42" s="40">
        <f t="shared" si="0"/>
        <v>2.33</v>
      </c>
      <c r="G42" s="45"/>
      <c r="H42" s="45"/>
      <c r="I42" s="125" t="s">
        <v>44</v>
      </c>
      <c r="J42" s="101">
        <v>2.33</v>
      </c>
      <c r="K42" s="101">
        <v>0</v>
      </c>
    </row>
    <row r="43" spans="1:11" ht="54" customHeight="1" x14ac:dyDescent="0.3">
      <c r="A43" s="267"/>
      <c r="B43" s="52" t="s">
        <v>45</v>
      </c>
      <c r="C43" s="45"/>
      <c r="D43" s="102">
        <v>26.299499999999998</v>
      </c>
      <c r="E43" s="55" t="s">
        <v>46</v>
      </c>
      <c r="F43" s="43">
        <f t="shared" si="0"/>
        <v>26.299499999999998</v>
      </c>
      <c r="G43" s="45"/>
      <c r="H43" s="45"/>
      <c r="I43" s="125" t="s">
        <v>46</v>
      </c>
      <c r="J43" s="102">
        <v>26.299499999999998</v>
      </c>
      <c r="K43" s="126">
        <v>0</v>
      </c>
    </row>
    <row r="44" spans="1:11" ht="75" x14ac:dyDescent="0.3">
      <c r="A44" s="267"/>
      <c r="B44" s="52" t="s">
        <v>47</v>
      </c>
      <c r="C44" s="45"/>
      <c r="D44" s="101">
        <f>3.00392+2.83785+2.88258</f>
        <v>8.7243500000000012</v>
      </c>
      <c r="E44" s="55" t="s">
        <v>51</v>
      </c>
      <c r="F44" s="40">
        <f t="shared" si="0"/>
        <v>8.7243500000000012</v>
      </c>
      <c r="G44" s="45"/>
      <c r="H44" s="58"/>
      <c r="I44" s="125" t="s">
        <v>51</v>
      </c>
      <c r="J44" s="101">
        <f>3.00392+2.59432</f>
        <v>5.5982400000000005</v>
      </c>
      <c r="K44" s="101">
        <f>2.83785+0.28826</f>
        <v>3.1261100000000002</v>
      </c>
    </row>
    <row r="45" spans="1:11" x14ac:dyDescent="0.25">
      <c r="A45" s="267"/>
      <c r="B45" s="55"/>
      <c r="C45" s="45"/>
      <c r="D45" s="101">
        <v>2.4099999999999998E-3</v>
      </c>
      <c r="E45" s="55" t="s">
        <v>52</v>
      </c>
      <c r="F45" s="40">
        <f t="shared" si="0"/>
        <v>2.4099999999999998E-3</v>
      </c>
      <c r="G45" s="45"/>
      <c r="H45" s="58"/>
      <c r="I45" s="125" t="s">
        <v>52</v>
      </c>
      <c r="J45" s="101">
        <v>0</v>
      </c>
      <c r="K45" s="101">
        <v>2.4099999999999998E-3</v>
      </c>
    </row>
    <row r="46" spans="1:11" x14ac:dyDescent="0.25">
      <c r="A46" s="267"/>
      <c r="B46" s="55"/>
      <c r="C46" s="45"/>
      <c r="D46" s="101">
        <v>3.739E-2</v>
      </c>
      <c r="E46" s="55" t="s">
        <v>53</v>
      </c>
      <c r="F46" s="40">
        <f t="shared" si="0"/>
        <v>3.739E-2</v>
      </c>
      <c r="G46" s="45"/>
      <c r="H46" s="58"/>
      <c r="I46" s="125" t="s">
        <v>53</v>
      </c>
      <c r="J46" s="101">
        <f>0.03552</f>
        <v>3.5520000000000003E-2</v>
      </c>
      <c r="K46" s="101">
        <f>0.00187</f>
        <v>1.8699999999999999E-3</v>
      </c>
    </row>
    <row r="47" spans="1:11" ht="17.25" customHeight="1" x14ac:dyDescent="0.25">
      <c r="A47" s="267"/>
      <c r="B47" s="55"/>
      <c r="C47" s="45"/>
      <c r="D47" s="103">
        <v>1.917E-2</v>
      </c>
      <c r="E47" s="55" t="s">
        <v>107</v>
      </c>
      <c r="F47" s="40">
        <f t="shared" si="0"/>
        <v>1.917E-2</v>
      </c>
      <c r="G47" s="45"/>
      <c r="H47" s="58"/>
      <c r="I47" s="125" t="s">
        <v>107</v>
      </c>
      <c r="J47" s="103">
        <v>1.917E-2</v>
      </c>
      <c r="K47" s="101">
        <v>0</v>
      </c>
    </row>
    <row r="48" spans="1:11" ht="15.75" x14ac:dyDescent="0.25">
      <c r="A48" s="267"/>
      <c r="B48" s="55"/>
      <c r="C48" s="45"/>
      <c r="D48" s="103">
        <v>5.1700000000000003E-2</v>
      </c>
      <c r="E48" s="55" t="s">
        <v>54</v>
      </c>
      <c r="F48" s="40">
        <f t="shared" si="0"/>
        <v>5.1700000000000003E-2</v>
      </c>
      <c r="G48" s="45"/>
      <c r="H48" s="58"/>
      <c r="I48" s="125" t="s">
        <v>54</v>
      </c>
      <c r="J48" s="103">
        <v>5.1700000000000003E-2</v>
      </c>
      <c r="K48" s="101">
        <v>0</v>
      </c>
    </row>
    <row r="49" spans="1:11" ht="17.25" customHeight="1" x14ac:dyDescent="0.25">
      <c r="A49" s="267"/>
      <c r="B49" s="55"/>
      <c r="C49" s="45"/>
      <c r="D49" s="103">
        <f>0.24516+0.26711+0.24289</f>
        <v>0.75516000000000005</v>
      </c>
      <c r="E49" s="55" t="s">
        <v>55</v>
      </c>
      <c r="F49" s="40">
        <f t="shared" si="0"/>
        <v>0.75516000000000005</v>
      </c>
      <c r="G49" s="45"/>
      <c r="H49" s="58"/>
      <c r="I49" s="125" t="s">
        <v>55</v>
      </c>
      <c r="J49" s="101">
        <f>0.24516+0.26711+0.12145</f>
        <v>0.63372000000000006</v>
      </c>
      <c r="K49" s="101">
        <f>0.12144</f>
        <v>0.12144000000000001</v>
      </c>
    </row>
    <row r="50" spans="1:11" ht="15.75" x14ac:dyDescent="0.25">
      <c r="A50" s="267"/>
      <c r="B50" s="55"/>
      <c r="C50" s="45"/>
      <c r="D50" s="103">
        <f>0.8294</f>
        <v>0.82940000000000003</v>
      </c>
      <c r="E50" s="55" t="s">
        <v>56</v>
      </c>
      <c r="F50" s="40">
        <f t="shared" si="0"/>
        <v>0.82940000000000003</v>
      </c>
      <c r="G50" s="45"/>
      <c r="H50" s="58"/>
      <c r="I50" s="125" t="s">
        <v>56</v>
      </c>
      <c r="J50" s="101">
        <f>0.26158</f>
        <v>0.26157999999999998</v>
      </c>
      <c r="K50" s="101">
        <f>0.56782</f>
        <v>0.56781999999999999</v>
      </c>
    </row>
    <row r="51" spans="1:11" ht="17.25" customHeight="1" x14ac:dyDescent="0.25">
      <c r="A51" s="267"/>
      <c r="B51" s="55"/>
      <c r="C51" s="45"/>
      <c r="D51" s="103">
        <f>0.68266+0.62616+1.87853</f>
        <v>3.1873500000000003</v>
      </c>
      <c r="E51" s="55" t="s">
        <v>57</v>
      </c>
      <c r="F51" s="40">
        <f t="shared" si="0"/>
        <v>3.1873500000000003</v>
      </c>
      <c r="G51" s="45"/>
      <c r="H51" s="58"/>
      <c r="I51" s="125" t="s">
        <v>57</v>
      </c>
      <c r="J51" s="101">
        <f>0.68266+0.62616+0.06262</f>
        <v>1.37144</v>
      </c>
      <c r="K51" s="101">
        <v>1.8159099999999999</v>
      </c>
    </row>
    <row r="52" spans="1:11" ht="15.75" x14ac:dyDescent="0.25">
      <c r="A52" s="267"/>
      <c r="B52" s="55"/>
      <c r="C52" s="45"/>
      <c r="D52" s="103">
        <v>0.51400000000000001</v>
      </c>
      <c r="E52" s="55" t="s">
        <v>108</v>
      </c>
      <c r="F52" s="40">
        <f t="shared" si="0"/>
        <v>0.51400000000000001</v>
      </c>
      <c r="G52" s="45"/>
      <c r="H52" s="58"/>
      <c r="I52" s="125" t="s">
        <v>108</v>
      </c>
      <c r="J52" s="101">
        <f>0.257</f>
        <v>0.25700000000000001</v>
      </c>
      <c r="K52" s="101">
        <f>0.257</f>
        <v>0.25700000000000001</v>
      </c>
    </row>
    <row r="53" spans="1:11" ht="13.5" customHeight="1" x14ac:dyDescent="0.25">
      <c r="A53" s="267"/>
      <c r="B53" s="55"/>
      <c r="C53" s="45"/>
      <c r="D53" s="103">
        <v>1.3168500000000001</v>
      </c>
      <c r="E53" s="55" t="s">
        <v>58</v>
      </c>
      <c r="F53" s="40">
        <f t="shared" si="0"/>
        <v>1.3168500000000001</v>
      </c>
      <c r="G53" s="45"/>
      <c r="H53" s="58"/>
      <c r="I53" s="125" t="s">
        <v>58</v>
      </c>
      <c r="J53" s="101">
        <v>0</v>
      </c>
      <c r="K53" s="103">
        <v>1.3168500000000001</v>
      </c>
    </row>
    <row r="54" spans="1:11" ht="16.5" customHeight="1" x14ac:dyDescent="0.25">
      <c r="A54" s="267"/>
      <c r="B54" s="55"/>
      <c r="C54" s="45"/>
      <c r="D54" s="101">
        <v>0.88980000000000004</v>
      </c>
      <c r="E54" s="55" t="s">
        <v>59</v>
      </c>
      <c r="F54" s="40">
        <f t="shared" si="0"/>
        <v>0.88980000000000004</v>
      </c>
      <c r="G54" s="45"/>
      <c r="H54" s="58"/>
      <c r="I54" s="125" t="s">
        <v>59</v>
      </c>
      <c r="J54" s="101">
        <v>5.9319999999999998E-2</v>
      </c>
      <c r="K54" s="101">
        <f>0.83048</f>
        <v>0.83048</v>
      </c>
    </row>
    <row r="55" spans="1:11" ht="14.25" customHeight="1" x14ac:dyDescent="0.25">
      <c r="A55" s="267"/>
      <c r="B55" s="55"/>
      <c r="C55" s="45"/>
      <c r="D55" s="103">
        <f>0.11771+0.0749</f>
        <v>0.19261</v>
      </c>
      <c r="E55" s="55" t="s">
        <v>109</v>
      </c>
      <c r="F55" s="40">
        <f t="shared" si="0"/>
        <v>0.19261</v>
      </c>
      <c r="G55" s="45"/>
      <c r="H55" s="58"/>
      <c r="I55" s="125" t="s">
        <v>109</v>
      </c>
      <c r="J55" s="103">
        <f>0.11771+0.0749</f>
        <v>0.19261</v>
      </c>
      <c r="K55" s="101">
        <v>0</v>
      </c>
    </row>
    <row r="56" spans="1:11" ht="15" customHeight="1" x14ac:dyDescent="0.25">
      <c r="A56" s="267"/>
      <c r="B56" s="55"/>
      <c r="C56" s="45"/>
      <c r="D56" s="103">
        <f>0.0737+0.07486+0.98986+0.03296</f>
        <v>1.1713800000000001</v>
      </c>
      <c r="E56" s="55" t="s">
        <v>60</v>
      </c>
      <c r="F56" s="40">
        <f t="shared" si="0"/>
        <v>1.1713800000000001</v>
      </c>
      <c r="G56" s="45"/>
      <c r="H56" s="58"/>
      <c r="I56" s="125" t="s">
        <v>60</v>
      </c>
      <c r="J56" s="101">
        <f>2.1018+0.01483-1.73853</f>
        <v>0.37809999999999988</v>
      </c>
      <c r="K56" s="101">
        <f>0.77515+0.01813</f>
        <v>0.79327999999999999</v>
      </c>
    </row>
    <row r="57" spans="1:11" ht="14.25" customHeight="1" x14ac:dyDescent="0.25">
      <c r="A57" s="267"/>
      <c r="B57" s="55"/>
      <c r="C57" s="45"/>
      <c r="D57" s="103">
        <f>0.02842</f>
        <v>2.8420000000000001E-2</v>
      </c>
      <c r="E57" s="55" t="s">
        <v>61</v>
      </c>
      <c r="F57" s="40">
        <f t="shared" si="0"/>
        <v>2.8420000000000001E-2</v>
      </c>
      <c r="G57" s="45"/>
      <c r="H57" s="58"/>
      <c r="I57" s="125" t="s">
        <v>61</v>
      </c>
      <c r="J57" s="101">
        <f>0.01421</f>
        <v>1.421E-2</v>
      </c>
      <c r="K57" s="101">
        <f>0.01421</f>
        <v>1.421E-2</v>
      </c>
    </row>
    <row r="58" spans="1:11" ht="14.25" customHeight="1" x14ac:dyDescent="0.25">
      <c r="A58" s="267"/>
      <c r="B58" s="55"/>
      <c r="C58" s="45"/>
      <c r="D58" s="103">
        <f>0.01864</f>
        <v>1.864E-2</v>
      </c>
      <c r="E58" s="55" t="s">
        <v>62</v>
      </c>
      <c r="F58" s="40">
        <f t="shared" si="0"/>
        <v>1.864E-2</v>
      </c>
      <c r="G58" s="45"/>
      <c r="H58" s="58"/>
      <c r="I58" s="125" t="s">
        <v>62</v>
      </c>
      <c r="J58" s="103">
        <f>0.01864</f>
        <v>1.864E-2</v>
      </c>
      <c r="K58" s="101">
        <v>0</v>
      </c>
    </row>
    <row r="59" spans="1:11" ht="15.75" x14ac:dyDescent="0.25">
      <c r="A59" s="267"/>
      <c r="B59" s="55"/>
      <c r="C59" s="45"/>
      <c r="D59" s="103">
        <v>0.34721000000000002</v>
      </c>
      <c r="E59" s="55" t="s">
        <v>63</v>
      </c>
      <c r="F59" s="40">
        <f t="shared" si="0"/>
        <v>0.34721000000000002</v>
      </c>
      <c r="G59" s="45"/>
      <c r="H59" s="58"/>
      <c r="I59" s="125" t="s">
        <v>63</v>
      </c>
      <c r="J59" s="103">
        <v>0.34721000000000002</v>
      </c>
      <c r="K59" s="101">
        <v>0</v>
      </c>
    </row>
    <row r="60" spans="1:11" ht="15.75" customHeight="1" x14ac:dyDescent="0.25">
      <c r="A60" s="267"/>
      <c r="B60" s="55"/>
      <c r="C60" s="45"/>
      <c r="D60" s="103">
        <f>0.07881+0.47283</f>
        <v>0.55164000000000002</v>
      </c>
      <c r="E60" s="55" t="s">
        <v>64</v>
      </c>
      <c r="F60" s="40">
        <f t="shared" si="0"/>
        <v>0.55164000000000002</v>
      </c>
      <c r="G60" s="45"/>
      <c r="H60" s="58"/>
      <c r="I60" s="125" t="s">
        <v>64</v>
      </c>
      <c r="J60" s="101">
        <f>0.51223</f>
        <v>0.51222999999999996</v>
      </c>
      <c r="K60" s="101">
        <v>3.9410000000000001E-2</v>
      </c>
    </row>
    <row r="61" spans="1:11" ht="13.5" customHeight="1" x14ac:dyDescent="0.25">
      <c r="A61" s="267"/>
      <c r="B61" s="55"/>
      <c r="C61" s="45"/>
      <c r="D61" s="103">
        <v>0.35499999999999998</v>
      </c>
      <c r="E61" s="55" t="s">
        <v>65</v>
      </c>
      <c r="F61" s="40">
        <f t="shared" si="0"/>
        <v>0.35499999999999998</v>
      </c>
      <c r="G61" s="45"/>
      <c r="H61" s="58"/>
      <c r="I61" s="125" t="s">
        <v>65</v>
      </c>
      <c r="J61" s="101">
        <v>0</v>
      </c>
      <c r="K61" s="103">
        <v>0.35499999999999998</v>
      </c>
    </row>
    <row r="62" spans="1:11" ht="15.75" x14ac:dyDescent="0.25">
      <c r="A62" s="267"/>
      <c r="B62" s="55"/>
      <c r="C62" s="45"/>
      <c r="D62" s="103">
        <f>0.20965</f>
        <v>0.20965</v>
      </c>
      <c r="E62" s="55" t="s">
        <v>66</v>
      </c>
      <c r="F62" s="40">
        <f t="shared" si="0"/>
        <v>0.20965</v>
      </c>
      <c r="G62" s="45"/>
      <c r="H62" s="58"/>
      <c r="I62" s="125" t="s">
        <v>66</v>
      </c>
      <c r="J62" s="101">
        <v>0</v>
      </c>
      <c r="K62" s="103">
        <f>0.20965</f>
        <v>0.20965</v>
      </c>
    </row>
    <row r="63" spans="1:11" ht="13.5" customHeight="1" x14ac:dyDescent="0.25">
      <c r="A63" s="267"/>
      <c r="B63" s="55"/>
      <c r="C63" s="45"/>
      <c r="D63" s="103">
        <f>0.20143</f>
        <v>0.20143</v>
      </c>
      <c r="E63" s="55" t="s">
        <v>67</v>
      </c>
      <c r="F63" s="40">
        <f t="shared" si="0"/>
        <v>0.20143</v>
      </c>
      <c r="G63" s="45"/>
      <c r="H63" s="58"/>
      <c r="I63" s="125" t="s">
        <v>67</v>
      </c>
      <c r="J63" s="103">
        <v>0</v>
      </c>
      <c r="K63" s="103">
        <f>0.20143</f>
        <v>0.20143</v>
      </c>
    </row>
    <row r="64" spans="1:11" ht="15.75" customHeight="1" x14ac:dyDescent="0.25">
      <c r="A64" s="267"/>
      <c r="B64" s="55"/>
      <c r="C64" s="45"/>
      <c r="D64" s="103">
        <f>1.2835</f>
        <v>1.2835000000000001</v>
      </c>
      <c r="E64" s="55" t="s">
        <v>68</v>
      </c>
      <c r="F64" s="40">
        <f t="shared" si="0"/>
        <v>1.2835000000000001</v>
      </c>
      <c r="G64" s="45"/>
      <c r="H64" s="58"/>
      <c r="I64" s="125" t="s">
        <v>68</v>
      </c>
      <c r="J64" s="101">
        <f>0.64175</f>
        <v>0.64175000000000004</v>
      </c>
      <c r="K64" s="101">
        <f>0.64175</f>
        <v>0.64175000000000004</v>
      </c>
    </row>
    <row r="65" spans="1:11" ht="16.5" customHeight="1" x14ac:dyDescent="0.25">
      <c r="A65" s="267"/>
      <c r="B65" s="55"/>
      <c r="C65" s="45"/>
      <c r="D65" s="103">
        <f>0.59265+0.01943+0.19319</f>
        <v>0.80526999999999993</v>
      </c>
      <c r="E65" s="55" t="s">
        <v>69</v>
      </c>
      <c r="F65" s="40">
        <f t="shared" si="0"/>
        <v>0.80526999999999993</v>
      </c>
      <c r="G65" s="45"/>
      <c r="H65" s="58"/>
      <c r="I65" s="125" t="s">
        <v>69</v>
      </c>
      <c r="J65" s="101">
        <f>0.42736</f>
        <v>0.42736000000000002</v>
      </c>
      <c r="K65" s="101">
        <f>0.37791</f>
        <v>0.37791000000000002</v>
      </c>
    </row>
    <row r="66" spans="1:11" ht="15.75" x14ac:dyDescent="0.25">
      <c r="A66" s="267"/>
      <c r="B66" s="55"/>
      <c r="C66" s="45"/>
      <c r="D66" s="103">
        <f>0.15089+0.294</f>
        <v>0.44489000000000001</v>
      </c>
      <c r="E66" s="55" t="s">
        <v>70</v>
      </c>
      <c r="F66" s="40">
        <f t="shared" si="0"/>
        <v>0.44489000000000001</v>
      </c>
      <c r="G66" s="45"/>
      <c r="H66" s="58"/>
      <c r="I66" s="125" t="s">
        <v>70</v>
      </c>
      <c r="J66" s="101">
        <f>0.33737</f>
        <v>0.33737</v>
      </c>
      <c r="K66" s="101">
        <f>0.10752</f>
        <v>0.10752</v>
      </c>
    </row>
    <row r="67" spans="1:11" ht="17.25" customHeight="1" x14ac:dyDescent="0.25">
      <c r="A67" s="267"/>
      <c r="B67" s="55"/>
      <c r="C67" s="45"/>
      <c r="D67" s="103">
        <f>0.24717</f>
        <v>0.24717</v>
      </c>
      <c r="E67" s="55" t="s">
        <v>71</v>
      </c>
      <c r="F67" s="40">
        <f t="shared" si="0"/>
        <v>0.24717</v>
      </c>
      <c r="G67" s="45"/>
      <c r="H67" s="58"/>
      <c r="I67" s="125" t="s">
        <v>71</v>
      </c>
      <c r="J67" s="101">
        <v>0</v>
      </c>
      <c r="K67" s="103">
        <f>0.24717</f>
        <v>0.24717</v>
      </c>
    </row>
    <row r="68" spans="1:11" ht="30.75" customHeight="1" x14ac:dyDescent="0.25">
      <c r="A68" s="267"/>
      <c r="B68" s="55"/>
      <c r="C68" s="45"/>
      <c r="D68" s="103">
        <f>0.32502</f>
        <v>0.32501999999999998</v>
      </c>
      <c r="E68" s="55" t="s">
        <v>120</v>
      </c>
      <c r="F68" s="40">
        <f t="shared" si="0"/>
        <v>0.32501999999999998</v>
      </c>
      <c r="G68" s="45"/>
      <c r="H68" s="58"/>
      <c r="I68" s="125" t="s">
        <v>120</v>
      </c>
      <c r="J68" s="101">
        <v>0</v>
      </c>
      <c r="K68" s="103">
        <f>0.32502</f>
        <v>0.32501999999999998</v>
      </c>
    </row>
    <row r="69" spans="1:11" ht="19.5" customHeight="1" x14ac:dyDescent="0.25">
      <c r="A69" s="267"/>
      <c r="B69" s="55"/>
      <c r="C69" s="45"/>
      <c r="D69" s="103">
        <f>4.2372</f>
        <v>4.2371999999999996</v>
      </c>
      <c r="E69" s="55" t="s">
        <v>72</v>
      </c>
      <c r="F69" s="40">
        <f t="shared" si="0"/>
        <v>4.2371999999999996</v>
      </c>
      <c r="G69" s="45"/>
      <c r="H69" s="58"/>
      <c r="I69" s="125" t="s">
        <v>72</v>
      </c>
      <c r="J69" s="101">
        <v>3.5310000000000001</v>
      </c>
      <c r="K69" s="101">
        <v>0.70620000000000005</v>
      </c>
    </row>
    <row r="70" spans="1:11" ht="16.5" customHeight="1" x14ac:dyDescent="0.25">
      <c r="A70" s="267"/>
      <c r="B70" s="55"/>
      <c r="C70" s="45"/>
      <c r="D70" s="101">
        <f>0.05484+0.1939</f>
        <v>0.24873999999999999</v>
      </c>
      <c r="E70" s="55" t="s">
        <v>73</v>
      </c>
      <c r="F70" s="40">
        <f t="shared" si="0"/>
        <v>0.24873999999999999</v>
      </c>
      <c r="G70" s="45"/>
      <c r="H70" s="58"/>
      <c r="I70" s="125" t="s">
        <v>73</v>
      </c>
      <c r="J70" s="101">
        <v>0.11748</v>
      </c>
      <c r="K70" s="101">
        <v>0.13125999999999999</v>
      </c>
    </row>
    <row r="71" spans="1:11" ht="12.75" customHeight="1" x14ac:dyDescent="0.25">
      <c r="A71" s="267"/>
      <c r="B71" s="55"/>
      <c r="C71" s="45"/>
      <c r="D71" s="103">
        <f>0.01744</f>
        <v>1.7440000000000001E-2</v>
      </c>
      <c r="E71" s="55" t="s">
        <v>74</v>
      </c>
      <c r="F71" s="40">
        <f t="shared" si="0"/>
        <v>1.7440000000000001E-2</v>
      </c>
      <c r="G71" s="45"/>
      <c r="H71" s="58"/>
      <c r="I71" s="125" t="s">
        <v>74</v>
      </c>
      <c r="J71" s="103">
        <f>0.01744</f>
        <v>1.7440000000000001E-2</v>
      </c>
      <c r="K71" s="101">
        <v>0</v>
      </c>
    </row>
    <row r="72" spans="1:11" ht="13.5" customHeight="1" x14ac:dyDescent="0.25">
      <c r="A72" s="267"/>
      <c r="B72" s="55"/>
      <c r="C72" s="45"/>
      <c r="D72" s="103">
        <v>0.27403</v>
      </c>
      <c r="E72" s="55" t="s">
        <v>75</v>
      </c>
      <c r="F72" s="40">
        <f t="shared" si="0"/>
        <v>0.27403</v>
      </c>
      <c r="G72" s="45"/>
      <c r="H72" s="58"/>
      <c r="I72" s="125" t="s">
        <v>75</v>
      </c>
      <c r="J72" s="101">
        <v>0</v>
      </c>
      <c r="K72" s="103">
        <v>0.27403</v>
      </c>
    </row>
    <row r="73" spans="1:11" ht="14.25" customHeight="1" x14ac:dyDescent="0.25">
      <c r="A73" s="267"/>
      <c r="B73" s="55"/>
      <c r="C73" s="45"/>
      <c r="D73" s="103">
        <f>0.11689+0.23377+0.99645+0.24156</f>
        <v>1.5886699999999998</v>
      </c>
      <c r="E73" s="55" t="s">
        <v>76</v>
      </c>
      <c r="F73" s="40">
        <f t="shared" si="0"/>
        <v>1.5886699999999998</v>
      </c>
      <c r="G73" s="45"/>
      <c r="H73" s="58"/>
      <c r="I73" s="125" t="s">
        <v>76</v>
      </c>
      <c r="J73" s="101">
        <v>0.97269000000000005</v>
      </c>
      <c r="K73" s="101">
        <v>0.61597999999999997</v>
      </c>
    </row>
    <row r="74" spans="1:11" ht="16.5" customHeight="1" x14ac:dyDescent="0.25">
      <c r="A74" s="267"/>
      <c r="B74" s="55"/>
      <c r="C74" s="45"/>
      <c r="D74" s="103">
        <v>3.8603499999999999</v>
      </c>
      <c r="E74" s="55" t="s">
        <v>77</v>
      </c>
      <c r="F74" s="40">
        <f t="shared" si="0"/>
        <v>3.8603499999999999</v>
      </c>
      <c r="G74" s="45"/>
      <c r="H74" s="58"/>
      <c r="I74" s="125" t="s">
        <v>77</v>
      </c>
      <c r="J74" s="101">
        <f>2.1232</f>
        <v>2.1232000000000002</v>
      </c>
      <c r="K74" s="101">
        <v>1.73715</v>
      </c>
    </row>
    <row r="75" spans="1:11" ht="15.75" customHeight="1" x14ac:dyDescent="0.25">
      <c r="A75" s="267"/>
      <c r="B75" s="55"/>
      <c r="C75" s="45"/>
      <c r="D75" s="103">
        <f>0.2048</f>
        <v>0.20480000000000001</v>
      </c>
      <c r="E75" s="55" t="s">
        <v>78</v>
      </c>
      <c r="F75" s="40">
        <f t="shared" si="0"/>
        <v>0.20480000000000001</v>
      </c>
      <c r="G75" s="45"/>
      <c r="H75" s="58"/>
      <c r="I75" s="125" t="s">
        <v>78</v>
      </c>
      <c r="J75" s="103">
        <f>0.2048</f>
        <v>0.20480000000000001</v>
      </c>
      <c r="K75" s="101">
        <v>0</v>
      </c>
    </row>
    <row r="76" spans="1:11" ht="13.5" customHeight="1" x14ac:dyDescent="0.25">
      <c r="A76" s="267"/>
      <c r="B76" s="55"/>
      <c r="C76" s="45"/>
      <c r="D76" s="103">
        <f>0.4806</f>
        <v>0.48060000000000003</v>
      </c>
      <c r="E76" s="55" t="s">
        <v>79</v>
      </c>
      <c r="F76" s="40">
        <f t="shared" si="0"/>
        <v>0.48060000000000003</v>
      </c>
      <c r="G76" s="45"/>
      <c r="H76" s="58"/>
      <c r="I76" s="125" t="s">
        <v>79</v>
      </c>
      <c r="J76" s="103">
        <f>0.4806</f>
        <v>0.48060000000000003</v>
      </c>
      <c r="K76" s="101">
        <v>0</v>
      </c>
    </row>
    <row r="77" spans="1:11" ht="17.25" customHeight="1" x14ac:dyDescent="0.25">
      <c r="A77" s="267"/>
      <c r="B77" s="55"/>
      <c r="C77" s="45"/>
      <c r="D77" s="103">
        <f>0.19456</f>
        <v>0.19456000000000001</v>
      </c>
      <c r="E77" s="55" t="s">
        <v>121</v>
      </c>
      <c r="F77" s="40">
        <f t="shared" si="0"/>
        <v>0.19456000000000001</v>
      </c>
      <c r="G77" s="45"/>
      <c r="H77" s="58"/>
      <c r="I77" s="125" t="s">
        <v>121</v>
      </c>
      <c r="J77" s="101">
        <f>0.14268</f>
        <v>0.14268</v>
      </c>
      <c r="K77" s="101">
        <v>5.1880000000000003E-2</v>
      </c>
    </row>
    <row r="78" spans="1:11" ht="16.5" customHeight="1" x14ac:dyDescent="0.25">
      <c r="A78" s="267"/>
      <c r="B78" s="55"/>
      <c r="C78" s="45"/>
      <c r="D78" s="103">
        <f>0.2722</f>
        <v>0.2722</v>
      </c>
      <c r="E78" s="55" t="s">
        <v>80</v>
      </c>
      <c r="F78" s="40">
        <f t="shared" ref="F78:F113" si="1">D78</f>
        <v>0.2722</v>
      </c>
      <c r="G78" s="45"/>
      <c r="H78" s="58"/>
      <c r="I78" s="125" t="s">
        <v>80</v>
      </c>
      <c r="J78" s="101">
        <v>0</v>
      </c>
      <c r="K78" s="103">
        <f>0.2722</f>
        <v>0.2722</v>
      </c>
    </row>
    <row r="79" spans="1:11" ht="12.75" customHeight="1" x14ac:dyDescent="0.25">
      <c r="A79" s="267"/>
      <c r="B79" s="55"/>
      <c r="C79" s="45"/>
      <c r="D79" s="103">
        <f>0.33545+0.10563</f>
        <v>0.44108000000000003</v>
      </c>
      <c r="E79" s="55" t="s">
        <v>81</v>
      </c>
      <c r="F79" s="40">
        <f t="shared" si="1"/>
        <v>0.44108000000000003</v>
      </c>
      <c r="G79" s="45"/>
      <c r="H79" s="58"/>
      <c r="I79" s="125" t="s">
        <v>81</v>
      </c>
      <c r="J79" s="101">
        <v>9.2480000000000007E-2</v>
      </c>
      <c r="K79" s="101">
        <v>0.34860000000000002</v>
      </c>
    </row>
    <row r="80" spans="1:11" ht="14.25" customHeight="1" x14ac:dyDescent="0.25">
      <c r="A80" s="267"/>
      <c r="B80" s="55"/>
      <c r="C80" s="45"/>
      <c r="D80" s="103">
        <f>0.1548+0.6776</f>
        <v>0.83240000000000003</v>
      </c>
      <c r="E80" s="55" t="s">
        <v>82</v>
      </c>
      <c r="F80" s="40">
        <f t="shared" si="1"/>
        <v>0.83240000000000003</v>
      </c>
      <c r="G80" s="45"/>
      <c r="H80" s="58"/>
      <c r="I80" s="125" t="s">
        <v>82</v>
      </c>
      <c r="J80" s="101">
        <f>0.1694</f>
        <v>0.1694</v>
      </c>
      <c r="K80" s="101">
        <f>0.663</f>
        <v>0.66300000000000003</v>
      </c>
    </row>
    <row r="81" spans="1:11" ht="14.25" customHeight="1" x14ac:dyDescent="0.25">
      <c r="A81" s="267"/>
      <c r="B81" s="55"/>
      <c r="C81" s="45"/>
      <c r="D81" s="103">
        <v>2.2499999999999999E-2</v>
      </c>
      <c r="E81" s="55" t="s">
        <v>83</v>
      </c>
      <c r="F81" s="40">
        <f t="shared" si="1"/>
        <v>2.2499999999999999E-2</v>
      </c>
      <c r="G81" s="45"/>
      <c r="H81" s="58"/>
      <c r="I81" s="125" t="s">
        <v>83</v>
      </c>
      <c r="J81" s="101">
        <v>0</v>
      </c>
      <c r="K81" s="103">
        <v>2.2499999999999999E-2</v>
      </c>
    </row>
    <row r="82" spans="1:11" ht="12.75" customHeight="1" x14ac:dyDescent="0.25">
      <c r="A82" s="267"/>
      <c r="B82" s="55"/>
      <c r="C82" s="45"/>
      <c r="D82" s="103">
        <v>2.2499999999999999E-2</v>
      </c>
      <c r="E82" s="55" t="s">
        <v>84</v>
      </c>
      <c r="F82" s="40">
        <f t="shared" si="1"/>
        <v>2.2499999999999999E-2</v>
      </c>
      <c r="G82" s="45"/>
      <c r="H82" s="58"/>
      <c r="I82" s="125" t="s">
        <v>84</v>
      </c>
      <c r="J82" s="101">
        <v>1.125E-2</v>
      </c>
      <c r="K82" s="101">
        <v>1.125E-2</v>
      </c>
    </row>
    <row r="83" spans="1:11" ht="12.75" customHeight="1" x14ac:dyDescent="0.25">
      <c r="A83" s="267"/>
      <c r="B83" s="55"/>
      <c r="C83" s="45"/>
      <c r="D83" s="101">
        <f>0.0225</f>
        <v>2.2499999999999999E-2</v>
      </c>
      <c r="E83" s="55" t="s">
        <v>85</v>
      </c>
      <c r="F83" s="40">
        <f t="shared" si="1"/>
        <v>2.2499999999999999E-2</v>
      </c>
      <c r="G83" s="45"/>
      <c r="H83" s="58"/>
      <c r="I83" s="125" t="s">
        <v>85</v>
      </c>
      <c r="J83" s="101">
        <v>0</v>
      </c>
      <c r="K83" s="101">
        <f>0.0225</f>
        <v>2.2499999999999999E-2</v>
      </c>
    </row>
    <row r="84" spans="1:11" ht="27" customHeight="1" x14ac:dyDescent="0.25">
      <c r="A84" s="267"/>
      <c r="B84" s="55"/>
      <c r="C84" s="45"/>
      <c r="D84" s="103">
        <f>0.6915</f>
        <v>0.6915</v>
      </c>
      <c r="E84" s="55" t="s">
        <v>122</v>
      </c>
      <c r="F84" s="40">
        <f t="shared" si="1"/>
        <v>0.6915</v>
      </c>
      <c r="G84" s="45"/>
      <c r="H84" s="58"/>
      <c r="I84" s="125" t="s">
        <v>86</v>
      </c>
      <c r="J84" s="101">
        <v>0</v>
      </c>
      <c r="K84" s="103">
        <f>0.6915</f>
        <v>0.6915</v>
      </c>
    </row>
    <row r="85" spans="1:11" ht="16.5" customHeight="1" x14ac:dyDescent="0.25">
      <c r="A85" s="267"/>
      <c r="B85" s="55"/>
      <c r="C85" s="45"/>
      <c r="D85" s="103">
        <f>5.44095+2.81538+7.37979</f>
        <v>15.63612</v>
      </c>
      <c r="E85" s="55" t="s">
        <v>87</v>
      </c>
      <c r="F85" s="40">
        <f t="shared" si="1"/>
        <v>15.63612</v>
      </c>
      <c r="G85" s="45"/>
      <c r="H85" s="58"/>
      <c r="I85" s="125" t="s">
        <v>87</v>
      </c>
      <c r="J85" s="101">
        <v>11.829700000000001</v>
      </c>
      <c r="K85" s="101">
        <f>3.80642</f>
        <v>3.8064200000000001</v>
      </c>
    </row>
    <row r="86" spans="1:11" ht="29.25" customHeight="1" x14ac:dyDescent="0.25">
      <c r="A86" s="267"/>
      <c r="B86" s="55"/>
      <c r="C86" s="45"/>
      <c r="D86" s="103">
        <v>0.11871</v>
      </c>
      <c r="E86" s="55" t="s">
        <v>88</v>
      </c>
      <c r="F86" s="40">
        <f t="shared" si="1"/>
        <v>0.11871</v>
      </c>
      <c r="G86" s="45"/>
      <c r="H86" s="58"/>
      <c r="I86" s="125" t="s">
        <v>88</v>
      </c>
      <c r="J86" s="101">
        <v>0</v>
      </c>
      <c r="K86" s="103">
        <v>0.11871</v>
      </c>
    </row>
    <row r="87" spans="1:11" ht="13.5" customHeight="1" x14ac:dyDescent="0.25">
      <c r="A87" s="267"/>
      <c r="B87" s="55"/>
      <c r="C87" s="45"/>
      <c r="D87" s="103">
        <v>3.8841000000000001</v>
      </c>
      <c r="E87" s="55" t="s">
        <v>89</v>
      </c>
      <c r="F87" s="40">
        <f t="shared" si="1"/>
        <v>3.8841000000000001</v>
      </c>
      <c r="G87" s="45"/>
      <c r="H87" s="58"/>
      <c r="I87" s="125" t="s">
        <v>89</v>
      </c>
      <c r="J87" s="101">
        <f>3.48275</f>
        <v>3.4827499999999998</v>
      </c>
      <c r="K87" s="101">
        <f>0.40135</f>
        <v>0.40134999999999998</v>
      </c>
    </row>
    <row r="88" spans="1:11" ht="18" customHeight="1" x14ac:dyDescent="0.25">
      <c r="A88" s="267"/>
      <c r="B88" s="55"/>
      <c r="C88" s="45"/>
      <c r="D88" s="103">
        <v>4.298</v>
      </c>
      <c r="E88" s="55" t="s">
        <v>123</v>
      </c>
      <c r="F88" s="40">
        <f t="shared" si="1"/>
        <v>4.298</v>
      </c>
      <c r="G88" s="45"/>
      <c r="H88" s="58"/>
      <c r="I88" s="125" t="s">
        <v>123</v>
      </c>
      <c r="J88" s="101">
        <v>1.5349999999999999</v>
      </c>
      <c r="K88" s="101">
        <v>2.7629999999999999</v>
      </c>
    </row>
    <row r="89" spans="1:11" ht="15.75" customHeight="1" x14ac:dyDescent="0.25">
      <c r="A89" s="267"/>
      <c r="B89" s="55"/>
      <c r="C89" s="45"/>
      <c r="D89" s="103">
        <f>3.377</f>
        <v>3.3769999999999998</v>
      </c>
      <c r="E89" s="55" t="s">
        <v>124</v>
      </c>
      <c r="F89" s="40">
        <f t="shared" si="1"/>
        <v>3.3769999999999998</v>
      </c>
      <c r="G89" s="45"/>
      <c r="H89" s="58"/>
      <c r="I89" s="125" t="s">
        <v>124</v>
      </c>
      <c r="J89" s="101">
        <v>1.5964</v>
      </c>
      <c r="K89" s="101">
        <v>1.7806</v>
      </c>
    </row>
    <row r="90" spans="1:11" ht="15" customHeight="1" x14ac:dyDescent="0.25">
      <c r="A90" s="267"/>
      <c r="B90" s="55"/>
      <c r="C90" s="45"/>
      <c r="D90" s="103">
        <v>2.7629999999999999</v>
      </c>
      <c r="E90" s="55" t="s">
        <v>125</v>
      </c>
      <c r="F90" s="40">
        <f t="shared" si="1"/>
        <v>2.7629999999999999</v>
      </c>
      <c r="G90" s="45"/>
      <c r="H90" s="58"/>
      <c r="I90" s="125" t="s">
        <v>125</v>
      </c>
      <c r="J90" s="101">
        <v>2.149</v>
      </c>
      <c r="K90" s="101">
        <f>0.614</f>
        <v>0.61399999999999999</v>
      </c>
    </row>
    <row r="91" spans="1:11" ht="17.25" customHeight="1" x14ac:dyDescent="0.25">
      <c r="A91" s="267"/>
      <c r="B91" s="55"/>
      <c r="C91" s="45"/>
      <c r="D91" s="103">
        <v>1.228</v>
      </c>
      <c r="E91" s="55" t="s">
        <v>126</v>
      </c>
      <c r="F91" s="40">
        <f t="shared" si="1"/>
        <v>1.228</v>
      </c>
      <c r="G91" s="45"/>
      <c r="H91" s="58"/>
      <c r="I91" s="125" t="s">
        <v>126</v>
      </c>
      <c r="J91" s="103">
        <v>1.228</v>
      </c>
      <c r="K91" s="101">
        <v>0</v>
      </c>
    </row>
    <row r="92" spans="1:11" ht="28.5" customHeight="1" x14ac:dyDescent="0.25">
      <c r="A92" s="267"/>
      <c r="B92" s="55"/>
      <c r="C92" s="45"/>
      <c r="D92" s="103">
        <f>0.921</f>
        <v>0.92100000000000004</v>
      </c>
      <c r="E92" s="55" t="s">
        <v>127</v>
      </c>
      <c r="F92" s="40">
        <f t="shared" si="1"/>
        <v>0.92100000000000004</v>
      </c>
      <c r="G92" s="45"/>
      <c r="H92" s="58"/>
      <c r="I92" s="125" t="s">
        <v>127</v>
      </c>
      <c r="J92" s="103">
        <f>0.921</f>
        <v>0.92100000000000004</v>
      </c>
      <c r="K92" s="101">
        <v>0</v>
      </c>
    </row>
    <row r="93" spans="1:11" ht="15.75" customHeight="1" x14ac:dyDescent="0.25">
      <c r="A93" s="267"/>
      <c r="B93" s="55"/>
      <c r="C93" s="45"/>
      <c r="D93" s="103">
        <v>1.7751300000000001</v>
      </c>
      <c r="E93" s="55" t="s">
        <v>112</v>
      </c>
      <c r="F93" s="40">
        <f t="shared" si="1"/>
        <v>1.7751300000000001</v>
      </c>
      <c r="G93" s="45"/>
      <c r="H93" s="58"/>
      <c r="I93" s="125" t="s">
        <v>112</v>
      </c>
      <c r="J93" s="103">
        <v>1.7751300000000001</v>
      </c>
      <c r="K93" s="101">
        <v>0</v>
      </c>
    </row>
    <row r="94" spans="1:11" ht="30" x14ac:dyDescent="0.25">
      <c r="A94" s="267"/>
      <c r="B94" s="55"/>
      <c r="C94" s="45"/>
      <c r="D94" s="103">
        <f>2.763</f>
        <v>2.7629999999999999</v>
      </c>
      <c r="E94" s="55" t="s">
        <v>128</v>
      </c>
      <c r="F94" s="40">
        <f t="shared" si="1"/>
        <v>2.7629999999999999</v>
      </c>
      <c r="G94" s="45"/>
      <c r="H94" s="58"/>
      <c r="I94" s="125" t="s">
        <v>128</v>
      </c>
      <c r="J94" s="101">
        <f>2.456</f>
        <v>2.456</v>
      </c>
      <c r="K94" s="101">
        <v>0.307</v>
      </c>
    </row>
    <row r="95" spans="1:11" ht="13.5" customHeight="1" x14ac:dyDescent="0.25">
      <c r="A95" s="267"/>
      <c r="B95" s="55"/>
      <c r="C95" s="45"/>
      <c r="D95" s="103">
        <v>1.7751300000000001</v>
      </c>
      <c r="E95" s="55" t="s">
        <v>111</v>
      </c>
      <c r="F95" s="40">
        <f t="shared" si="1"/>
        <v>1.7751300000000001</v>
      </c>
      <c r="G95" s="45"/>
      <c r="H95" s="58"/>
      <c r="I95" s="125" t="s">
        <v>111</v>
      </c>
      <c r="J95" s="103">
        <v>1.7751300000000001</v>
      </c>
      <c r="K95" s="101">
        <v>0</v>
      </c>
    </row>
    <row r="96" spans="1:11" ht="15.75" customHeight="1" x14ac:dyDescent="0.25">
      <c r="A96" s="267"/>
      <c r="B96" s="55"/>
      <c r="C96" s="45"/>
      <c r="D96" s="103">
        <v>2.9788800000000002</v>
      </c>
      <c r="E96" s="55" t="s">
        <v>90</v>
      </c>
      <c r="F96" s="40">
        <f t="shared" si="1"/>
        <v>2.9788800000000002</v>
      </c>
      <c r="G96" s="45"/>
      <c r="H96" s="58"/>
      <c r="I96" s="125" t="s">
        <v>90</v>
      </c>
      <c r="J96" s="101">
        <f>2.0544</f>
        <v>2.0543999999999998</v>
      </c>
      <c r="K96" s="101">
        <v>0.92447999999999997</v>
      </c>
    </row>
    <row r="97" spans="1:11" ht="15" customHeight="1" x14ac:dyDescent="0.25">
      <c r="A97" s="267"/>
      <c r="B97" s="55"/>
      <c r="C97" s="45"/>
      <c r="D97" s="103">
        <f>2.98123+1.39614</f>
        <v>4.37737</v>
      </c>
      <c r="E97" s="55" t="s">
        <v>91</v>
      </c>
      <c r="F97" s="40">
        <f t="shared" si="1"/>
        <v>4.37737</v>
      </c>
      <c r="G97" s="45"/>
      <c r="H97" s="58"/>
      <c r="I97" s="125" t="s">
        <v>91</v>
      </c>
      <c r="J97" s="101">
        <f>1.9378</f>
        <v>1.9378</v>
      </c>
      <c r="K97" s="101">
        <f>2.43957</f>
        <v>2.4395699999999998</v>
      </c>
    </row>
    <row r="98" spans="1:11" ht="13.5" customHeight="1" x14ac:dyDescent="0.25">
      <c r="A98" s="267"/>
      <c r="B98" s="55"/>
      <c r="C98" s="45"/>
      <c r="D98" s="103">
        <v>0.58884000000000003</v>
      </c>
      <c r="E98" s="55" t="s">
        <v>92</v>
      </c>
      <c r="F98" s="40">
        <f t="shared" si="1"/>
        <v>0.58884000000000003</v>
      </c>
      <c r="G98" s="45"/>
      <c r="H98" s="58"/>
      <c r="I98" s="125" t="s">
        <v>92</v>
      </c>
      <c r="J98" s="103">
        <v>0</v>
      </c>
      <c r="K98" s="103">
        <v>0.58884000000000003</v>
      </c>
    </row>
    <row r="99" spans="1:11" ht="13.5" customHeight="1" x14ac:dyDescent="0.25">
      <c r="A99" s="267"/>
      <c r="B99" s="55"/>
      <c r="C99" s="45"/>
      <c r="D99" s="103">
        <v>2.6329999999999999E-2</v>
      </c>
      <c r="E99" s="55" t="s">
        <v>93</v>
      </c>
      <c r="F99" s="40">
        <f t="shared" si="1"/>
        <v>2.6329999999999999E-2</v>
      </c>
      <c r="G99" s="45"/>
      <c r="H99" s="58"/>
      <c r="I99" s="125" t="s">
        <v>93</v>
      </c>
      <c r="J99" s="103">
        <v>2.6329999999999999E-2</v>
      </c>
      <c r="K99" s="101">
        <v>0</v>
      </c>
    </row>
    <row r="100" spans="1:11" ht="13.5" customHeight="1" x14ac:dyDescent="0.25">
      <c r="A100" s="267"/>
      <c r="B100" s="55"/>
      <c r="C100" s="45"/>
      <c r="D100" s="103">
        <f>1.9231</f>
        <v>1.9231</v>
      </c>
      <c r="E100" s="55" t="s">
        <v>94</v>
      </c>
      <c r="F100" s="40">
        <f t="shared" si="1"/>
        <v>1.9231</v>
      </c>
      <c r="G100" s="45"/>
      <c r="H100" s="58"/>
      <c r="I100" s="125" t="s">
        <v>94</v>
      </c>
      <c r="J100" s="101">
        <v>0.27472999999999997</v>
      </c>
      <c r="K100" s="101">
        <f>1.64837</f>
        <v>1.6483699999999999</v>
      </c>
    </row>
    <row r="101" spans="1:11" ht="15" customHeight="1" x14ac:dyDescent="0.25">
      <c r="A101" s="267"/>
      <c r="B101" s="55"/>
      <c r="C101" s="45"/>
      <c r="D101" s="103">
        <v>0.95101999999999998</v>
      </c>
      <c r="E101" s="55" t="s">
        <v>95</v>
      </c>
      <c r="F101" s="40">
        <f t="shared" si="1"/>
        <v>0.95101999999999998</v>
      </c>
      <c r="G101" s="45"/>
      <c r="H101" s="58"/>
      <c r="I101" s="125" t="s">
        <v>95</v>
      </c>
      <c r="J101" s="103">
        <v>0</v>
      </c>
      <c r="K101" s="103">
        <v>0.95101999999999998</v>
      </c>
    </row>
    <row r="102" spans="1:11" ht="15" customHeight="1" x14ac:dyDescent="0.25">
      <c r="A102" s="267"/>
      <c r="B102" s="55"/>
      <c r="C102" s="45"/>
      <c r="D102" s="103">
        <f>5.12487+8.05122</f>
        <v>13.17609</v>
      </c>
      <c r="E102" s="55" t="s">
        <v>96</v>
      </c>
      <c r="F102" s="40">
        <f t="shared" si="1"/>
        <v>13.17609</v>
      </c>
      <c r="G102" s="45"/>
      <c r="H102" s="58"/>
      <c r="I102" s="125" t="s">
        <v>96</v>
      </c>
      <c r="J102" s="101">
        <v>10.27764</v>
      </c>
      <c r="K102" s="101">
        <f>2.89845</f>
        <v>2.89845</v>
      </c>
    </row>
    <row r="103" spans="1:11" ht="15" customHeight="1" x14ac:dyDescent="0.25">
      <c r="A103" s="267"/>
      <c r="B103" s="55"/>
      <c r="C103" s="45"/>
      <c r="D103" s="103">
        <v>0.19153999999999999</v>
      </c>
      <c r="E103" s="55" t="s">
        <v>97</v>
      </c>
      <c r="F103" s="40">
        <f t="shared" si="1"/>
        <v>0.19153999999999999</v>
      </c>
      <c r="G103" s="45"/>
      <c r="H103" s="58"/>
      <c r="I103" s="125" t="s">
        <v>97</v>
      </c>
      <c r="J103" s="101">
        <f>0.07367</f>
        <v>7.3669999999999999E-2</v>
      </c>
      <c r="K103" s="101">
        <f>0.11787</f>
        <v>0.11787</v>
      </c>
    </row>
    <row r="104" spans="1:11" ht="14.25" customHeight="1" x14ac:dyDescent="0.25">
      <c r="A104" s="267"/>
      <c r="B104" s="55"/>
      <c r="C104" s="45"/>
      <c r="D104" s="103">
        <f>0.36504</f>
        <v>0.36503999999999998</v>
      </c>
      <c r="E104" s="55" t="s">
        <v>98</v>
      </c>
      <c r="F104" s="40">
        <f t="shared" si="1"/>
        <v>0.36503999999999998</v>
      </c>
      <c r="G104" s="45"/>
      <c r="H104" s="58"/>
      <c r="I104" s="125" t="s">
        <v>98</v>
      </c>
      <c r="J104" s="101">
        <f>0.21294</f>
        <v>0.21293999999999999</v>
      </c>
      <c r="K104" s="101">
        <f>0.1521</f>
        <v>0.15210000000000001</v>
      </c>
    </row>
    <row r="105" spans="1:11" ht="13.5" customHeight="1" x14ac:dyDescent="0.25">
      <c r="A105" s="267"/>
      <c r="B105" s="55"/>
      <c r="C105" s="45"/>
      <c r="D105" s="103">
        <v>0.63729000000000002</v>
      </c>
      <c r="E105" s="55" t="s">
        <v>99</v>
      </c>
      <c r="F105" s="40">
        <f t="shared" si="1"/>
        <v>0.63729000000000002</v>
      </c>
      <c r="G105" s="45"/>
      <c r="H105" s="58"/>
      <c r="I105" s="125" t="s">
        <v>99</v>
      </c>
      <c r="J105" s="103">
        <v>0.63729000000000002</v>
      </c>
      <c r="K105" s="101">
        <v>0</v>
      </c>
    </row>
    <row r="106" spans="1:11" ht="12.75" customHeight="1" x14ac:dyDescent="0.25">
      <c r="A106" s="267"/>
      <c r="B106" s="55"/>
      <c r="C106" s="45"/>
      <c r="D106" s="103">
        <f>0.95626</f>
        <v>0.95626</v>
      </c>
      <c r="E106" s="55" t="s">
        <v>100</v>
      </c>
      <c r="F106" s="40">
        <f t="shared" si="1"/>
        <v>0.95626</v>
      </c>
      <c r="G106" s="45"/>
      <c r="H106" s="58"/>
      <c r="I106" s="125" t="s">
        <v>100</v>
      </c>
      <c r="J106" s="101">
        <f>0.3825</f>
        <v>0.38250000000000001</v>
      </c>
      <c r="K106" s="101">
        <f>0.57376</f>
        <v>0.57376000000000005</v>
      </c>
    </row>
    <row r="107" spans="1:11" ht="15" customHeight="1" x14ac:dyDescent="0.25">
      <c r="A107" s="267"/>
      <c r="B107" s="55"/>
      <c r="C107" s="45"/>
      <c r="D107" s="103">
        <f>0.17345+0.276+0.08587-0.00006</f>
        <v>0.53526000000000007</v>
      </c>
      <c r="E107" s="56" t="s">
        <v>101</v>
      </c>
      <c r="F107" s="40">
        <f t="shared" si="1"/>
        <v>0.53526000000000007</v>
      </c>
      <c r="G107" s="45"/>
      <c r="H107" s="58"/>
      <c r="I107" s="125" t="s">
        <v>101</v>
      </c>
      <c r="J107" s="101">
        <f>0.3642</f>
        <v>0.36420000000000002</v>
      </c>
      <c r="K107" s="101">
        <f>0.17112</f>
        <v>0.17111999999999999</v>
      </c>
    </row>
    <row r="108" spans="1:11" ht="14.25" customHeight="1" x14ac:dyDescent="0.25">
      <c r="A108" s="267"/>
      <c r="B108" s="55"/>
      <c r="C108" s="45"/>
      <c r="D108" s="103">
        <f>0.49434+1.0431</f>
        <v>1.5374399999999999</v>
      </c>
      <c r="E108" s="55" t="s">
        <v>105</v>
      </c>
      <c r="F108" s="40">
        <f t="shared" si="1"/>
        <v>1.5374399999999999</v>
      </c>
      <c r="G108" s="45"/>
      <c r="H108" s="58"/>
      <c r="I108" s="125" t="s">
        <v>105</v>
      </c>
      <c r="J108" s="101">
        <v>0.55656000000000005</v>
      </c>
      <c r="K108" s="101">
        <v>0.98087999999999997</v>
      </c>
    </row>
    <row r="109" spans="1:11" ht="12.75" customHeight="1" x14ac:dyDescent="0.25">
      <c r="A109" s="267"/>
      <c r="B109" s="55"/>
      <c r="C109" s="45"/>
      <c r="D109" s="103">
        <v>0.67900000000000005</v>
      </c>
      <c r="E109" s="55" t="s">
        <v>104</v>
      </c>
      <c r="F109" s="40">
        <f t="shared" si="1"/>
        <v>0.67900000000000005</v>
      </c>
      <c r="G109" s="45"/>
      <c r="H109" s="58"/>
      <c r="I109" s="125" t="s">
        <v>104</v>
      </c>
      <c r="J109" s="101">
        <f>0.27645</f>
        <v>0.27644999999999997</v>
      </c>
      <c r="K109" s="101">
        <v>0.40255000000000002</v>
      </c>
    </row>
    <row r="110" spans="1:11" ht="14.25" customHeight="1" x14ac:dyDescent="0.25">
      <c r="A110" s="267"/>
      <c r="B110" s="55"/>
      <c r="C110" s="45"/>
      <c r="D110" s="103">
        <v>0.60192000000000001</v>
      </c>
      <c r="E110" s="55" t="s">
        <v>102</v>
      </c>
      <c r="F110" s="40">
        <f t="shared" si="1"/>
        <v>0.60192000000000001</v>
      </c>
      <c r="G110" s="45"/>
      <c r="H110" s="58"/>
      <c r="I110" s="125" t="s">
        <v>102</v>
      </c>
      <c r="J110" s="101">
        <f>0.49362</f>
        <v>0.49362</v>
      </c>
      <c r="K110" s="101">
        <f>0.1083</f>
        <v>0.10829999999999999</v>
      </c>
    </row>
    <row r="111" spans="1:11" ht="13.5" customHeight="1" x14ac:dyDescent="0.25">
      <c r="A111" s="267"/>
      <c r="B111" s="55"/>
      <c r="C111" s="45"/>
      <c r="D111" s="103">
        <f>1.14+0.2048</f>
        <v>1.3448</v>
      </c>
      <c r="E111" s="55" t="s">
        <v>103</v>
      </c>
      <c r="F111" s="40">
        <f t="shared" si="1"/>
        <v>1.3448</v>
      </c>
      <c r="G111" s="45"/>
      <c r="H111" s="58"/>
      <c r="I111" s="125" t="s">
        <v>103</v>
      </c>
      <c r="J111" s="101">
        <f>0.70412</f>
        <v>0.70411999999999997</v>
      </c>
      <c r="K111" s="101">
        <f>0.64068</f>
        <v>0.64068000000000003</v>
      </c>
    </row>
    <row r="112" spans="1:11" ht="15.75" x14ac:dyDescent="0.25">
      <c r="A112" s="267"/>
      <c r="B112" s="55"/>
      <c r="C112" s="45"/>
      <c r="D112" s="103">
        <v>0.46200000000000002</v>
      </c>
      <c r="E112" s="55" t="s">
        <v>106</v>
      </c>
      <c r="F112" s="40">
        <f t="shared" si="1"/>
        <v>0.46200000000000002</v>
      </c>
      <c r="G112" s="45"/>
      <c r="H112" s="58"/>
      <c r="I112" s="125" t="s">
        <v>106</v>
      </c>
      <c r="J112" s="101">
        <f>0.0462</f>
        <v>4.6199999999999998E-2</v>
      </c>
      <c r="K112" s="101">
        <f>0.4158</f>
        <v>0.4158</v>
      </c>
    </row>
    <row r="113" spans="1:11" ht="45" x14ac:dyDescent="0.25">
      <c r="A113" s="267"/>
      <c r="B113" s="60" t="s">
        <v>110</v>
      </c>
      <c r="C113" s="45"/>
      <c r="D113" s="104">
        <v>1.7</v>
      </c>
      <c r="E113" s="55" t="s">
        <v>114</v>
      </c>
      <c r="F113" s="40">
        <f t="shared" si="1"/>
        <v>1.7</v>
      </c>
      <c r="G113" s="45"/>
      <c r="H113" s="45"/>
      <c r="I113" s="125" t="s">
        <v>136</v>
      </c>
      <c r="J113" s="101">
        <v>0</v>
      </c>
      <c r="K113" s="104">
        <v>1.7</v>
      </c>
    </row>
    <row r="114" spans="1:11" ht="15.75" x14ac:dyDescent="0.25">
      <c r="A114" s="268"/>
      <c r="B114" s="60" t="s">
        <v>129</v>
      </c>
      <c r="C114" s="62">
        <v>14.691000000000001</v>
      </c>
      <c r="D114" s="104"/>
      <c r="E114" s="55"/>
      <c r="F114" s="40">
        <v>14.691000000000001</v>
      </c>
      <c r="G114" s="45"/>
      <c r="H114" s="45"/>
      <c r="I114" s="125"/>
      <c r="J114" s="101"/>
      <c r="K114" s="146">
        <v>14.691000000000001</v>
      </c>
    </row>
    <row r="115" spans="1:11" ht="120" x14ac:dyDescent="0.25">
      <c r="A115" s="271" t="s">
        <v>12</v>
      </c>
      <c r="B115" s="135" t="s">
        <v>129</v>
      </c>
      <c r="C115" s="42">
        <v>18.664999999999999</v>
      </c>
      <c r="D115" s="50"/>
      <c r="E115" s="136"/>
      <c r="F115" s="42">
        <f>C115</f>
        <v>18.664999999999999</v>
      </c>
      <c r="G115" s="144" t="s">
        <v>297</v>
      </c>
      <c r="H115" s="145"/>
      <c r="I115" s="145"/>
      <c r="J115" s="46"/>
      <c r="K115" s="135"/>
    </row>
    <row r="116" spans="1:11" ht="58.5" customHeight="1" x14ac:dyDescent="0.25">
      <c r="A116" s="272"/>
      <c r="B116" s="135"/>
      <c r="C116" s="135"/>
      <c r="D116" s="50"/>
      <c r="E116" s="136"/>
      <c r="F116" s="42"/>
      <c r="G116" s="136" t="s">
        <v>260</v>
      </c>
      <c r="H116" s="135">
        <v>17.73</v>
      </c>
      <c r="I116" s="145"/>
      <c r="J116" s="46"/>
      <c r="K116" s="135"/>
    </row>
    <row r="117" spans="1:11" ht="30" x14ac:dyDescent="0.25">
      <c r="A117" s="272"/>
      <c r="B117" s="135"/>
      <c r="C117" s="135"/>
      <c r="D117" s="50"/>
      <c r="E117" s="136"/>
      <c r="F117" s="42"/>
      <c r="G117" s="136" t="s">
        <v>261</v>
      </c>
      <c r="H117" s="135">
        <v>11.9</v>
      </c>
      <c r="I117" s="145"/>
      <c r="J117" s="46"/>
      <c r="K117" s="135"/>
    </row>
    <row r="118" spans="1:11" ht="30" x14ac:dyDescent="0.25">
      <c r="A118" s="272"/>
      <c r="B118" s="135"/>
      <c r="C118" s="135"/>
      <c r="D118" s="50"/>
      <c r="E118" s="136"/>
      <c r="F118" s="42"/>
      <c r="G118" s="136" t="s">
        <v>262</v>
      </c>
      <c r="H118" s="135">
        <f>4.5-0.774</f>
        <v>3.726</v>
      </c>
      <c r="I118" s="145"/>
      <c r="J118" s="46"/>
      <c r="K118" s="135"/>
    </row>
    <row r="119" spans="1:11" ht="57.75" x14ac:dyDescent="0.25">
      <c r="A119" s="272"/>
      <c r="B119" s="90" t="s">
        <v>138</v>
      </c>
      <c r="C119" s="1"/>
      <c r="D119" s="92">
        <v>13.105</v>
      </c>
      <c r="E119" s="13" t="s">
        <v>139</v>
      </c>
      <c r="F119" s="42">
        <f t="shared" ref="F119:F128" si="2">D119</f>
        <v>13.105</v>
      </c>
      <c r="G119" s="1"/>
      <c r="H119" s="1"/>
      <c r="I119" s="119" t="s">
        <v>139</v>
      </c>
      <c r="J119" s="101">
        <v>13.105</v>
      </c>
      <c r="K119" s="101">
        <v>0</v>
      </c>
    </row>
    <row r="120" spans="1:11" ht="30" x14ac:dyDescent="0.25">
      <c r="A120" s="272"/>
      <c r="B120" s="1"/>
      <c r="C120" s="1"/>
      <c r="D120" s="92">
        <v>1.5</v>
      </c>
      <c r="E120" s="15" t="s">
        <v>115</v>
      </c>
      <c r="F120" s="42">
        <f t="shared" si="2"/>
        <v>1.5</v>
      </c>
      <c r="G120" s="1"/>
      <c r="H120" s="1"/>
      <c r="I120" s="127" t="s">
        <v>115</v>
      </c>
      <c r="J120" s="92">
        <v>1.5</v>
      </c>
      <c r="K120" s="101">
        <v>0</v>
      </c>
    </row>
    <row r="121" spans="1:11" x14ac:dyDescent="0.25">
      <c r="A121" s="272"/>
      <c r="B121" s="1"/>
      <c r="C121" s="1"/>
      <c r="D121" s="92">
        <v>0.01</v>
      </c>
      <c r="E121" s="15" t="s">
        <v>140</v>
      </c>
      <c r="F121" s="86">
        <f t="shared" si="2"/>
        <v>0.01</v>
      </c>
      <c r="G121" s="1"/>
      <c r="H121" s="1"/>
      <c r="I121" s="127" t="s">
        <v>140</v>
      </c>
      <c r="J121" s="92">
        <v>0.01</v>
      </c>
      <c r="K121" s="101">
        <v>0</v>
      </c>
    </row>
    <row r="122" spans="1:11" ht="30" x14ac:dyDescent="0.25">
      <c r="A122" s="272"/>
      <c r="B122" s="1"/>
      <c r="C122" s="1"/>
      <c r="D122" s="92">
        <v>5.5E-2</v>
      </c>
      <c r="E122" s="15" t="s">
        <v>141</v>
      </c>
      <c r="F122" s="42">
        <f t="shared" si="2"/>
        <v>5.5E-2</v>
      </c>
      <c r="G122" s="1"/>
      <c r="H122" s="1"/>
      <c r="I122" s="127" t="s">
        <v>141</v>
      </c>
      <c r="J122" s="92">
        <v>5.5E-2</v>
      </c>
      <c r="K122" s="101">
        <v>0</v>
      </c>
    </row>
    <row r="123" spans="1:11" x14ac:dyDescent="0.25">
      <c r="A123" s="272"/>
      <c r="B123" s="1"/>
      <c r="C123" s="1"/>
      <c r="D123" s="92">
        <v>0.96</v>
      </c>
      <c r="E123" s="15" t="s">
        <v>41</v>
      </c>
      <c r="F123" s="42">
        <f t="shared" si="2"/>
        <v>0.96</v>
      </c>
      <c r="G123" s="1"/>
      <c r="H123" s="1"/>
      <c r="I123" s="127" t="s">
        <v>41</v>
      </c>
      <c r="J123" s="92">
        <v>0.96</v>
      </c>
      <c r="K123" s="101">
        <v>0</v>
      </c>
    </row>
    <row r="124" spans="1:11" x14ac:dyDescent="0.25">
      <c r="A124" s="272"/>
      <c r="B124" s="1"/>
      <c r="C124" s="1"/>
      <c r="D124" s="92">
        <v>0.96</v>
      </c>
      <c r="E124" s="15" t="s">
        <v>142</v>
      </c>
      <c r="F124" s="42">
        <f t="shared" si="2"/>
        <v>0.96</v>
      </c>
      <c r="G124" s="1"/>
      <c r="H124" s="1"/>
      <c r="I124" s="127" t="s">
        <v>142</v>
      </c>
      <c r="J124" s="92">
        <v>0.96</v>
      </c>
      <c r="K124" s="101">
        <v>0</v>
      </c>
    </row>
    <row r="125" spans="1:11" ht="30" x14ac:dyDescent="0.25">
      <c r="A125" s="272"/>
      <c r="B125" s="1"/>
      <c r="C125" s="1"/>
      <c r="D125" s="92">
        <v>1.75</v>
      </c>
      <c r="E125" s="15" t="s">
        <v>44</v>
      </c>
      <c r="F125" s="42">
        <f t="shared" si="2"/>
        <v>1.75</v>
      </c>
      <c r="G125" s="1"/>
      <c r="H125" s="1"/>
      <c r="I125" s="127" t="s">
        <v>44</v>
      </c>
      <c r="J125" s="92">
        <v>1.75</v>
      </c>
      <c r="K125" s="101">
        <v>0</v>
      </c>
    </row>
    <row r="126" spans="1:11" ht="56.25" x14ac:dyDescent="0.3">
      <c r="A126" s="272"/>
      <c r="B126" s="52" t="s">
        <v>45</v>
      </c>
      <c r="C126" s="1"/>
      <c r="D126" s="92">
        <v>26.299499999999998</v>
      </c>
      <c r="E126" s="55" t="s">
        <v>143</v>
      </c>
      <c r="F126" s="42">
        <f t="shared" si="2"/>
        <v>26.299499999999998</v>
      </c>
      <c r="G126" s="1"/>
      <c r="H126" s="1"/>
      <c r="I126" s="125" t="s">
        <v>143</v>
      </c>
      <c r="J126" s="92">
        <v>26.299499999999998</v>
      </c>
      <c r="K126" s="101">
        <v>0</v>
      </c>
    </row>
    <row r="127" spans="1:11" ht="30" x14ac:dyDescent="0.25">
      <c r="A127" s="272"/>
      <c r="B127" s="91" t="s">
        <v>22</v>
      </c>
      <c r="C127" s="1"/>
      <c r="D127" s="92">
        <v>21.8</v>
      </c>
      <c r="E127" s="13" t="s">
        <v>139</v>
      </c>
      <c r="F127" s="42">
        <f t="shared" si="2"/>
        <v>21.8</v>
      </c>
      <c r="G127" s="1"/>
      <c r="H127" s="1"/>
      <c r="I127" s="119" t="s">
        <v>139</v>
      </c>
      <c r="J127" s="92">
        <v>21.8</v>
      </c>
      <c r="K127" s="101">
        <v>0</v>
      </c>
    </row>
    <row r="128" spans="1:11" x14ac:dyDescent="0.25">
      <c r="A128" s="272"/>
      <c r="B128" s="1"/>
      <c r="C128" s="1"/>
      <c r="D128" s="92">
        <f>0.28+0.14</f>
        <v>0.42000000000000004</v>
      </c>
      <c r="E128" s="15" t="s">
        <v>24</v>
      </c>
      <c r="F128" s="42">
        <f t="shared" si="2"/>
        <v>0.42000000000000004</v>
      </c>
      <c r="G128" s="1"/>
      <c r="H128" s="1"/>
      <c r="I128" s="127" t="s">
        <v>24</v>
      </c>
      <c r="J128" s="92">
        <f>0.28+0.14</f>
        <v>0.42000000000000004</v>
      </c>
      <c r="K128" s="101">
        <v>0</v>
      </c>
    </row>
    <row r="129" spans="1:11" ht="30" x14ac:dyDescent="0.25">
      <c r="A129" s="272"/>
      <c r="B129" s="1"/>
      <c r="C129" s="1"/>
      <c r="D129" s="92">
        <v>0.3</v>
      </c>
      <c r="E129" s="15" t="s">
        <v>144</v>
      </c>
      <c r="F129" s="42">
        <v>0.3</v>
      </c>
      <c r="G129" s="1"/>
      <c r="H129" s="1"/>
      <c r="I129" s="127" t="s">
        <v>144</v>
      </c>
      <c r="J129" s="92">
        <v>0.3</v>
      </c>
      <c r="K129" s="101">
        <v>0</v>
      </c>
    </row>
    <row r="130" spans="1:11" x14ac:dyDescent="0.25">
      <c r="A130" s="272"/>
      <c r="B130" s="1"/>
      <c r="C130" s="1"/>
      <c r="D130" s="92">
        <v>0.57999999999999996</v>
      </c>
      <c r="E130" s="15" t="s">
        <v>145</v>
      </c>
      <c r="F130" s="42">
        <f t="shared" ref="F130:F137" si="3">D130</f>
        <v>0.57999999999999996</v>
      </c>
      <c r="G130" s="1"/>
      <c r="H130" s="1"/>
      <c r="I130" s="127" t="s">
        <v>145</v>
      </c>
      <c r="J130" s="92">
        <v>0.57999999999999996</v>
      </c>
      <c r="K130" s="101">
        <v>0</v>
      </c>
    </row>
    <row r="131" spans="1:11" ht="30" x14ac:dyDescent="0.25">
      <c r="A131" s="272"/>
      <c r="B131" s="1"/>
      <c r="C131" s="1"/>
      <c r="D131" s="92">
        <v>0.28999999999999998</v>
      </c>
      <c r="E131" s="15" t="s">
        <v>147</v>
      </c>
      <c r="F131" s="42">
        <f t="shared" si="3"/>
        <v>0.28999999999999998</v>
      </c>
      <c r="G131" s="1"/>
      <c r="H131" s="1"/>
      <c r="I131" s="127" t="s">
        <v>147</v>
      </c>
      <c r="J131" s="92">
        <v>0.28999999999999998</v>
      </c>
      <c r="K131" s="101">
        <v>0</v>
      </c>
    </row>
    <row r="132" spans="1:11" x14ac:dyDescent="0.25">
      <c r="A132" s="272"/>
      <c r="B132" s="1"/>
      <c r="C132" s="1"/>
      <c r="D132" s="92">
        <v>0.56999999999999995</v>
      </c>
      <c r="E132" s="15" t="s">
        <v>146</v>
      </c>
      <c r="F132" s="42">
        <f t="shared" si="3"/>
        <v>0.56999999999999995</v>
      </c>
      <c r="G132" s="1"/>
      <c r="H132" s="1"/>
      <c r="I132" s="127" t="s">
        <v>146</v>
      </c>
      <c r="J132" s="92">
        <v>0.56999999999999995</v>
      </c>
      <c r="K132" s="101">
        <v>0</v>
      </c>
    </row>
    <row r="133" spans="1:11" ht="30" x14ac:dyDescent="0.25">
      <c r="A133" s="272"/>
      <c r="B133" s="1"/>
      <c r="C133" s="1"/>
      <c r="D133" s="92">
        <v>1.3</v>
      </c>
      <c r="E133" s="15" t="s">
        <v>42</v>
      </c>
      <c r="F133" s="42">
        <f t="shared" si="3"/>
        <v>1.3</v>
      </c>
      <c r="G133" s="1"/>
      <c r="H133" s="1"/>
      <c r="I133" s="127" t="s">
        <v>42</v>
      </c>
      <c r="J133" s="92">
        <v>1.3</v>
      </c>
      <c r="K133" s="101">
        <v>0</v>
      </c>
    </row>
    <row r="134" spans="1:11" x14ac:dyDescent="0.25">
      <c r="A134" s="272"/>
      <c r="B134" s="1"/>
      <c r="C134" s="1"/>
      <c r="D134" s="92">
        <v>0.50800000000000001</v>
      </c>
      <c r="E134" s="15" t="s">
        <v>142</v>
      </c>
      <c r="F134" s="42">
        <f t="shared" si="3"/>
        <v>0.50800000000000001</v>
      </c>
      <c r="G134" s="1"/>
      <c r="H134" s="1"/>
      <c r="I134" s="127" t="s">
        <v>142</v>
      </c>
      <c r="J134" s="92">
        <v>0.50800000000000001</v>
      </c>
      <c r="K134" s="101">
        <v>0</v>
      </c>
    </row>
    <row r="135" spans="1:11" x14ac:dyDescent="0.25">
      <c r="A135" s="272"/>
      <c r="B135" s="1"/>
      <c r="C135" s="1"/>
      <c r="D135" s="92">
        <v>0.56999999999999995</v>
      </c>
      <c r="E135" s="15" t="s">
        <v>142</v>
      </c>
      <c r="F135" s="42">
        <f t="shared" si="3"/>
        <v>0.56999999999999995</v>
      </c>
      <c r="G135" s="1"/>
      <c r="H135" s="1"/>
      <c r="I135" s="127" t="s">
        <v>142</v>
      </c>
      <c r="J135" s="92">
        <v>0.56999999999999995</v>
      </c>
      <c r="K135" s="101">
        <v>0</v>
      </c>
    </row>
    <row r="136" spans="1:11" ht="30" x14ac:dyDescent="0.25">
      <c r="A136" s="272"/>
      <c r="B136" s="1"/>
      <c r="C136" s="1"/>
      <c r="D136" s="92">
        <f>2.328</f>
        <v>2.3279999999999998</v>
      </c>
      <c r="E136" s="15" t="s">
        <v>44</v>
      </c>
      <c r="F136" s="42">
        <f t="shared" si="3"/>
        <v>2.3279999999999998</v>
      </c>
      <c r="G136" s="1"/>
      <c r="H136" s="1"/>
      <c r="I136" s="127" t="s">
        <v>44</v>
      </c>
      <c r="J136" s="92">
        <f>2.328</f>
        <v>2.3279999999999998</v>
      </c>
      <c r="K136" s="101">
        <v>0</v>
      </c>
    </row>
    <row r="137" spans="1:11" ht="75" x14ac:dyDescent="0.3">
      <c r="A137" s="272"/>
      <c r="B137" s="52" t="s">
        <v>47</v>
      </c>
      <c r="C137" s="1"/>
      <c r="D137" s="92">
        <f>4.23046+2.83935</f>
        <v>7.0698100000000004</v>
      </c>
      <c r="E137" s="15" t="s">
        <v>148</v>
      </c>
      <c r="F137" s="42">
        <f t="shared" si="3"/>
        <v>7.0698100000000004</v>
      </c>
      <c r="G137" s="1"/>
      <c r="H137" s="1"/>
      <c r="I137" s="127" t="s">
        <v>148</v>
      </c>
      <c r="J137" s="92">
        <f>2.83935+2.96132</f>
        <v>5.8006700000000002</v>
      </c>
      <c r="K137" s="92">
        <v>1.2691399999999999</v>
      </c>
    </row>
    <row r="138" spans="1:11" x14ac:dyDescent="0.25">
      <c r="A138" s="272"/>
      <c r="B138" s="1"/>
      <c r="C138" s="1"/>
      <c r="D138" s="101">
        <f>4.23624+5.65302</f>
        <v>9.8892600000000002</v>
      </c>
      <c r="E138" s="15" t="s">
        <v>51</v>
      </c>
      <c r="F138" s="42">
        <f>4.23624+5.65302</f>
        <v>9.8892600000000002</v>
      </c>
      <c r="G138" s="1"/>
      <c r="H138" s="1"/>
      <c r="I138" s="127" t="s">
        <v>51</v>
      </c>
      <c r="J138" s="92">
        <f>2.25933+4.23976</f>
        <v>6.4990900000000007</v>
      </c>
      <c r="K138" s="101">
        <f>1.97691+1.41326</f>
        <v>3.3901699999999999</v>
      </c>
    </row>
    <row r="139" spans="1:11" x14ac:dyDescent="0.25">
      <c r="A139" s="272"/>
      <c r="B139" s="1"/>
      <c r="C139" s="1"/>
      <c r="D139" s="92">
        <f>0.07477+0.06414</f>
        <v>0.13891000000000001</v>
      </c>
      <c r="E139" s="15" t="s">
        <v>149</v>
      </c>
      <c r="F139" s="42">
        <f t="shared" ref="F139:F159" si="4">D139</f>
        <v>0.13891000000000001</v>
      </c>
      <c r="G139" s="1"/>
      <c r="H139" s="1"/>
      <c r="I139" s="127" t="s">
        <v>149</v>
      </c>
      <c r="J139" s="92">
        <v>7.4770000000000003E-2</v>
      </c>
      <c r="K139" s="101">
        <f>0.064</f>
        <v>6.4000000000000001E-2</v>
      </c>
    </row>
    <row r="140" spans="1:11" x14ac:dyDescent="0.25">
      <c r="A140" s="272"/>
      <c r="B140" s="1"/>
      <c r="C140" s="1"/>
      <c r="D140" s="92">
        <v>1.917E-2</v>
      </c>
      <c r="E140" s="15" t="s">
        <v>150</v>
      </c>
      <c r="F140" s="42">
        <f t="shared" si="4"/>
        <v>1.917E-2</v>
      </c>
      <c r="G140" s="1"/>
      <c r="H140" s="1"/>
      <c r="I140" s="127" t="s">
        <v>150</v>
      </c>
      <c r="J140" s="92">
        <v>1.917E-2</v>
      </c>
      <c r="K140" s="101">
        <v>0</v>
      </c>
    </row>
    <row r="141" spans="1:11" x14ac:dyDescent="0.25">
      <c r="A141" s="272"/>
      <c r="B141" s="1"/>
      <c r="C141" s="1"/>
      <c r="D141" s="92">
        <v>0.1</v>
      </c>
      <c r="E141" s="15" t="s">
        <v>151</v>
      </c>
      <c r="F141" s="42">
        <f t="shared" si="4"/>
        <v>0.1</v>
      </c>
      <c r="G141" s="1"/>
      <c r="H141" s="1"/>
      <c r="I141" s="127" t="s">
        <v>151</v>
      </c>
      <c r="J141" s="92">
        <v>4.7E-2</v>
      </c>
      <c r="K141" s="101">
        <v>5.2999999999999999E-2</v>
      </c>
    </row>
    <row r="142" spans="1:11" x14ac:dyDescent="0.25">
      <c r="A142" s="272"/>
      <c r="B142" s="1"/>
      <c r="C142" s="1"/>
      <c r="D142" s="92">
        <v>0.11984</v>
      </c>
      <c r="E142" s="15" t="s">
        <v>152</v>
      </c>
      <c r="F142" s="42">
        <f t="shared" si="4"/>
        <v>0.11984</v>
      </c>
      <c r="G142" s="1"/>
      <c r="H142" s="1"/>
      <c r="I142" s="127" t="s">
        <v>152</v>
      </c>
      <c r="J142" s="92">
        <v>0.11984</v>
      </c>
      <c r="K142" s="101">
        <v>0</v>
      </c>
    </row>
    <row r="143" spans="1:11" x14ac:dyDescent="0.25">
      <c r="A143" s="272"/>
      <c r="B143" s="1"/>
      <c r="C143" s="1"/>
      <c r="D143" s="92">
        <v>2.5046599999999999</v>
      </c>
      <c r="E143" s="15" t="s">
        <v>153</v>
      </c>
      <c r="F143" s="42">
        <f t="shared" si="4"/>
        <v>2.5046599999999999</v>
      </c>
      <c r="G143" s="1"/>
      <c r="H143" s="1"/>
      <c r="I143" s="127" t="s">
        <v>153</v>
      </c>
      <c r="J143" s="92">
        <v>2.5046599999999999</v>
      </c>
      <c r="K143" s="101">
        <v>0</v>
      </c>
    </row>
    <row r="144" spans="1:11" x14ac:dyDescent="0.25">
      <c r="A144" s="272"/>
      <c r="B144" s="1"/>
      <c r="C144" s="1"/>
      <c r="D144" s="92">
        <v>1.028</v>
      </c>
      <c r="E144" s="15" t="s">
        <v>108</v>
      </c>
      <c r="F144" s="42">
        <f t="shared" si="4"/>
        <v>1.028</v>
      </c>
      <c r="G144" s="1"/>
      <c r="H144" s="1"/>
      <c r="I144" s="127" t="s">
        <v>108</v>
      </c>
      <c r="J144" s="92">
        <v>0.89949999999999997</v>
      </c>
      <c r="K144" s="101">
        <v>0.1285</v>
      </c>
    </row>
    <row r="145" spans="1:11" x14ac:dyDescent="0.25">
      <c r="A145" s="272"/>
      <c r="B145" s="1"/>
      <c r="C145" s="1"/>
      <c r="D145" s="92">
        <v>2.7653799999999999</v>
      </c>
      <c r="E145" s="15" t="s">
        <v>58</v>
      </c>
      <c r="F145" s="42">
        <f t="shared" si="4"/>
        <v>2.7653799999999999</v>
      </c>
      <c r="G145" s="1"/>
      <c r="H145" s="1"/>
      <c r="I145" s="127" t="s">
        <v>58</v>
      </c>
      <c r="J145" s="92">
        <v>0</v>
      </c>
      <c r="K145" s="92">
        <v>2.7653799999999999</v>
      </c>
    </row>
    <row r="146" spans="1:11" x14ac:dyDescent="0.25">
      <c r="A146" s="272"/>
      <c r="B146" s="1"/>
      <c r="C146" s="1"/>
      <c r="D146" s="92">
        <v>4.1239999999999999E-2</v>
      </c>
      <c r="E146" s="15" t="s">
        <v>154</v>
      </c>
      <c r="F146" s="42">
        <f t="shared" si="4"/>
        <v>4.1239999999999999E-2</v>
      </c>
      <c r="G146" s="1"/>
      <c r="H146" s="1"/>
      <c r="I146" s="127" t="s">
        <v>154</v>
      </c>
      <c r="J146" s="92">
        <v>4.1239999999999999E-2</v>
      </c>
      <c r="K146" s="101">
        <v>0</v>
      </c>
    </row>
    <row r="147" spans="1:11" ht="30" x14ac:dyDescent="0.25">
      <c r="A147" s="272"/>
      <c r="B147" s="1"/>
      <c r="C147" s="1"/>
      <c r="D147" s="92">
        <f>0.30602+0.09416+0.30602+0.32956</f>
        <v>1.03576</v>
      </c>
      <c r="E147" s="15" t="s">
        <v>155</v>
      </c>
      <c r="F147" s="42">
        <f t="shared" si="4"/>
        <v>1.03576</v>
      </c>
      <c r="G147" s="1"/>
      <c r="H147" s="1"/>
      <c r="I147" s="127" t="s">
        <v>155</v>
      </c>
      <c r="J147" s="92">
        <f>0.30602+0.09416+0.30602+0.08239</f>
        <v>0.7885899999999999</v>
      </c>
      <c r="K147" s="101">
        <f>0.24717</f>
        <v>0.24717</v>
      </c>
    </row>
    <row r="148" spans="1:11" x14ac:dyDescent="0.25">
      <c r="A148" s="272"/>
      <c r="B148" s="1"/>
      <c r="C148" s="1"/>
      <c r="D148" s="92">
        <v>6.7140000000000005E-2</v>
      </c>
      <c r="E148" s="15" t="s">
        <v>156</v>
      </c>
      <c r="F148" s="42">
        <f t="shared" si="4"/>
        <v>6.7140000000000005E-2</v>
      </c>
      <c r="G148" s="1"/>
      <c r="H148" s="1"/>
      <c r="I148" s="127" t="s">
        <v>156</v>
      </c>
      <c r="J148" s="92">
        <v>2.6859999999999998E-2</v>
      </c>
      <c r="K148" s="92">
        <v>4.0280000000000003E-2</v>
      </c>
    </row>
    <row r="149" spans="1:11" x14ac:dyDescent="0.25">
      <c r="A149" s="272"/>
      <c r="B149" s="1"/>
      <c r="C149" s="1"/>
      <c r="D149" s="92">
        <f>0.07723+0.13428</f>
        <v>0.21151</v>
      </c>
      <c r="E149" s="15" t="s">
        <v>157</v>
      </c>
      <c r="F149" s="42">
        <f t="shared" si="4"/>
        <v>0.21151</v>
      </c>
      <c r="G149" s="1"/>
      <c r="H149" s="1"/>
      <c r="I149" s="127" t="s">
        <v>157</v>
      </c>
      <c r="J149" s="92">
        <f>0.07723+0.04028</f>
        <v>0.11751</v>
      </c>
      <c r="K149" s="101">
        <f>0.094</f>
        <v>9.4E-2</v>
      </c>
    </row>
    <row r="150" spans="1:11" x14ac:dyDescent="0.25">
      <c r="A150" s="272"/>
      <c r="B150" s="1"/>
      <c r="C150" s="1"/>
      <c r="D150" s="92">
        <f>0.0612+0.0306</f>
        <v>9.1799999999999993E-2</v>
      </c>
      <c r="E150" s="15" t="s">
        <v>109</v>
      </c>
      <c r="F150" s="42">
        <f t="shared" si="4"/>
        <v>9.1799999999999993E-2</v>
      </c>
      <c r="G150" s="1"/>
      <c r="H150" s="1"/>
      <c r="I150" s="127" t="s">
        <v>109</v>
      </c>
      <c r="J150" s="92">
        <f>0.0612+0.01836</f>
        <v>7.9559999999999992E-2</v>
      </c>
      <c r="K150" s="101">
        <f>0.01224</f>
        <v>1.2239999999999999E-2</v>
      </c>
    </row>
    <row r="151" spans="1:11" x14ac:dyDescent="0.25">
      <c r="A151" s="272"/>
      <c r="B151" s="1"/>
      <c r="C151" s="1"/>
      <c r="D151" s="92">
        <f>0.48657+0.51591</f>
        <v>1.00248</v>
      </c>
      <c r="E151" s="15" t="s">
        <v>158</v>
      </c>
      <c r="F151" s="42">
        <f t="shared" si="4"/>
        <v>1.00248</v>
      </c>
      <c r="G151" s="1"/>
      <c r="H151" s="1"/>
      <c r="I151" s="127" t="s">
        <v>158</v>
      </c>
      <c r="J151" s="92">
        <f>0.48657+0.51591</f>
        <v>1.00248</v>
      </c>
      <c r="K151" s="101">
        <v>0</v>
      </c>
    </row>
    <row r="152" spans="1:11" x14ac:dyDescent="0.25">
      <c r="A152" s="272"/>
      <c r="B152" s="1"/>
      <c r="C152" s="1"/>
      <c r="D152" s="92">
        <f>0.11055+0.75799</f>
        <v>0.86854000000000009</v>
      </c>
      <c r="E152" s="15" t="s">
        <v>159</v>
      </c>
      <c r="F152" s="42">
        <f t="shared" si="4"/>
        <v>0.86854000000000009</v>
      </c>
      <c r="G152" s="1"/>
      <c r="H152" s="1"/>
      <c r="I152" s="127" t="s">
        <v>159</v>
      </c>
      <c r="J152" s="92">
        <f>0.11055+0.75799</f>
        <v>0.86854000000000009</v>
      </c>
      <c r="K152" s="101">
        <v>0</v>
      </c>
    </row>
    <row r="153" spans="1:11" x14ac:dyDescent="0.25">
      <c r="A153" s="272"/>
      <c r="B153" s="1"/>
      <c r="C153" s="1"/>
      <c r="D153" s="92">
        <v>15.589130000000001</v>
      </c>
      <c r="E153" s="15" t="s">
        <v>160</v>
      </c>
      <c r="F153" s="42">
        <f t="shared" si="4"/>
        <v>15.589130000000001</v>
      </c>
      <c r="G153" s="1"/>
      <c r="H153" s="1"/>
      <c r="I153" s="127" t="s">
        <v>160</v>
      </c>
      <c r="J153" s="92">
        <v>14.03021</v>
      </c>
      <c r="K153" s="101">
        <v>1.5589200000000001</v>
      </c>
    </row>
    <row r="154" spans="1:11" x14ac:dyDescent="0.25">
      <c r="A154" s="272"/>
      <c r="B154" s="1"/>
      <c r="C154" s="1"/>
      <c r="D154" s="92">
        <f>0.01485+0.04455</f>
        <v>5.9400000000000001E-2</v>
      </c>
      <c r="E154" s="15" t="s">
        <v>62</v>
      </c>
      <c r="F154" s="42">
        <f t="shared" si="4"/>
        <v>5.9400000000000001E-2</v>
      </c>
      <c r="G154" s="1"/>
      <c r="H154" s="1"/>
      <c r="I154" s="127" t="s">
        <v>161</v>
      </c>
      <c r="J154" s="92">
        <f>0.01485+0.0104</f>
        <v>2.5250000000000002E-2</v>
      </c>
      <c r="K154" s="101">
        <v>3.415E-2</v>
      </c>
    </row>
    <row r="155" spans="1:11" x14ac:dyDescent="0.25">
      <c r="A155" s="272"/>
      <c r="B155" s="1"/>
      <c r="C155" s="1"/>
      <c r="D155" s="92">
        <v>0.69474999999999998</v>
      </c>
      <c r="E155" s="15" t="s">
        <v>63</v>
      </c>
      <c r="F155" s="42">
        <f t="shared" si="4"/>
        <v>0.69474999999999998</v>
      </c>
      <c r="G155" s="1"/>
      <c r="H155" s="1"/>
      <c r="I155" s="127" t="s">
        <v>63</v>
      </c>
      <c r="J155" s="92">
        <v>0.69474999999999998</v>
      </c>
      <c r="K155" s="101">
        <v>0</v>
      </c>
    </row>
    <row r="156" spans="1:11" x14ac:dyDescent="0.25">
      <c r="A156" s="272"/>
      <c r="B156" s="1"/>
      <c r="C156" s="1"/>
      <c r="D156" s="92">
        <f>0.05254+0.13134</f>
        <v>0.18388000000000002</v>
      </c>
      <c r="E156" s="15" t="s">
        <v>64</v>
      </c>
      <c r="F156" s="42">
        <f t="shared" si="4"/>
        <v>0.18388000000000002</v>
      </c>
      <c r="G156" s="1"/>
      <c r="H156" s="1"/>
      <c r="I156" s="127" t="s">
        <v>64</v>
      </c>
      <c r="J156" s="92">
        <f>0.05254+0.13134</f>
        <v>0.18388000000000002</v>
      </c>
      <c r="K156" s="101">
        <v>0</v>
      </c>
    </row>
    <row r="157" spans="1:11" x14ac:dyDescent="0.25">
      <c r="A157" s="272"/>
      <c r="B157" s="1"/>
      <c r="C157" s="1"/>
      <c r="D157" s="92">
        <v>1.8679999999999999E-2</v>
      </c>
      <c r="E157" s="15" t="s">
        <v>162</v>
      </c>
      <c r="F157" s="42">
        <f t="shared" si="4"/>
        <v>1.8679999999999999E-2</v>
      </c>
      <c r="G157" s="1"/>
      <c r="H157" s="1"/>
      <c r="I157" s="127" t="s">
        <v>162</v>
      </c>
      <c r="J157" s="92">
        <v>0</v>
      </c>
      <c r="K157" s="101">
        <v>1.8679999999999999E-2</v>
      </c>
    </row>
    <row r="158" spans="1:11" x14ac:dyDescent="0.25">
      <c r="A158" s="272"/>
      <c r="B158" s="1"/>
      <c r="C158" s="1"/>
      <c r="D158" s="92">
        <v>0.88500000000000001</v>
      </c>
      <c r="E158" s="15" t="s">
        <v>163</v>
      </c>
      <c r="F158" s="42">
        <f t="shared" si="4"/>
        <v>0.88500000000000001</v>
      </c>
      <c r="G158" s="1"/>
      <c r="H158" s="1"/>
      <c r="I158" s="127" t="s">
        <v>163</v>
      </c>
      <c r="J158" s="92">
        <v>0.88500000000000001</v>
      </c>
      <c r="K158" s="101">
        <v>0</v>
      </c>
    </row>
    <row r="159" spans="1:11" x14ac:dyDescent="0.25">
      <c r="A159" s="272"/>
      <c r="B159" s="1"/>
      <c r="C159" s="1"/>
      <c r="D159" s="92">
        <v>0.1095</v>
      </c>
      <c r="E159" s="15" t="s">
        <v>164</v>
      </c>
      <c r="F159" s="42">
        <f t="shared" si="4"/>
        <v>0.1095</v>
      </c>
      <c r="G159" s="1"/>
      <c r="H159" s="1"/>
      <c r="I159" s="127" t="s">
        <v>164</v>
      </c>
      <c r="J159" s="92">
        <v>6.5699999999999995E-2</v>
      </c>
      <c r="K159" s="101">
        <v>4.3799999999999999E-2</v>
      </c>
    </row>
    <row r="160" spans="1:11" x14ac:dyDescent="0.25">
      <c r="A160" s="272"/>
      <c r="B160" s="1"/>
      <c r="C160" s="1"/>
      <c r="D160" s="92">
        <f>0.54236</f>
        <v>0.54235999999999995</v>
      </c>
      <c r="E160" s="15" t="s">
        <v>165</v>
      </c>
      <c r="F160" s="42">
        <v>0.54235999999999995</v>
      </c>
      <c r="G160" s="1"/>
      <c r="H160" s="1"/>
      <c r="I160" s="127" t="s">
        <v>165</v>
      </c>
      <c r="J160" s="92">
        <v>0.32768000000000003</v>
      </c>
      <c r="K160" s="101">
        <v>0.21468000000000001</v>
      </c>
    </row>
    <row r="161" spans="1:11" x14ac:dyDescent="0.25">
      <c r="A161" s="272"/>
      <c r="B161" s="1"/>
      <c r="C161" s="1"/>
      <c r="D161" s="92">
        <v>0.32250000000000001</v>
      </c>
      <c r="E161" s="15" t="s">
        <v>166</v>
      </c>
      <c r="F161" s="42">
        <f t="shared" ref="F161:F186" si="5">D161</f>
        <v>0.32250000000000001</v>
      </c>
      <c r="G161" s="1"/>
      <c r="H161" s="1"/>
      <c r="I161" s="127" t="s">
        <v>166</v>
      </c>
      <c r="J161" s="101">
        <v>0.32250000000000001</v>
      </c>
      <c r="K161" s="101">
        <v>0</v>
      </c>
    </row>
    <row r="162" spans="1:11" x14ac:dyDescent="0.25">
      <c r="A162" s="272"/>
      <c r="B162" s="1"/>
      <c r="C162" s="1"/>
      <c r="D162" s="92">
        <f>0.72866+0.58294</f>
        <v>1.3115999999999999</v>
      </c>
      <c r="E162" s="15" t="s">
        <v>69</v>
      </c>
      <c r="F162" s="42">
        <f t="shared" si="5"/>
        <v>1.3115999999999999</v>
      </c>
      <c r="G162" s="1"/>
      <c r="H162" s="1"/>
      <c r="I162" s="127" t="s">
        <v>69</v>
      </c>
      <c r="J162" s="92">
        <f>0.72866+0.32255</f>
        <v>1.05121</v>
      </c>
      <c r="K162" s="101">
        <v>0.26039000000000001</v>
      </c>
    </row>
    <row r="163" spans="1:11" x14ac:dyDescent="0.25">
      <c r="A163" s="272"/>
      <c r="B163" s="1"/>
      <c r="C163" s="1"/>
      <c r="D163" s="92">
        <v>0.21185999999999999</v>
      </c>
      <c r="E163" s="15" t="s">
        <v>167</v>
      </c>
      <c r="F163" s="42">
        <f t="shared" si="5"/>
        <v>0.21185999999999999</v>
      </c>
      <c r="G163" s="1"/>
      <c r="H163" s="1"/>
      <c r="I163" s="127" t="s">
        <v>167</v>
      </c>
      <c r="J163" s="92">
        <v>0.21185999999999999</v>
      </c>
      <c r="K163" s="101">
        <v>0</v>
      </c>
    </row>
    <row r="164" spans="1:11" ht="30" x14ac:dyDescent="0.25">
      <c r="A164" s="272"/>
      <c r="B164" s="1"/>
      <c r="C164" s="1"/>
      <c r="D164" s="92">
        <v>0.24890000000000001</v>
      </c>
      <c r="E164" s="15" t="s">
        <v>168</v>
      </c>
      <c r="F164" s="42">
        <f t="shared" si="5"/>
        <v>0.24890000000000001</v>
      </c>
      <c r="G164" s="1"/>
      <c r="H164" s="1"/>
      <c r="I164" s="127" t="s">
        <v>168</v>
      </c>
      <c r="J164" s="92">
        <v>0</v>
      </c>
      <c r="K164" s="101">
        <v>0.24890000000000001</v>
      </c>
    </row>
    <row r="165" spans="1:11" x14ac:dyDescent="0.25">
      <c r="A165" s="272"/>
      <c r="B165" s="1"/>
      <c r="C165" s="1"/>
      <c r="D165" s="92">
        <v>0.75600000000000001</v>
      </c>
      <c r="E165" s="15" t="s">
        <v>70</v>
      </c>
      <c r="F165" s="42">
        <f t="shared" si="5"/>
        <v>0.75600000000000001</v>
      </c>
      <c r="G165" s="1"/>
      <c r="H165" s="1"/>
      <c r="I165" s="127" t="s">
        <v>70</v>
      </c>
      <c r="J165" s="92">
        <v>0.75600000000000001</v>
      </c>
      <c r="K165" s="101">
        <v>0</v>
      </c>
    </row>
    <row r="166" spans="1:11" ht="30" x14ac:dyDescent="0.25">
      <c r="A166" s="272"/>
      <c r="B166" s="1"/>
      <c r="C166" s="1"/>
      <c r="D166" s="92">
        <v>0.21801999999999999</v>
      </c>
      <c r="E166" s="15" t="s">
        <v>169</v>
      </c>
      <c r="F166" s="42">
        <f t="shared" si="5"/>
        <v>0.21801999999999999</v>
      </c>
      <c r="G166" s="1"/>
      <c r="H166" s="1"/>
      <c r="I166" s="127" t="s">
        <v>169</v>
      </c>
      <c r="J166" s="92">
        <v>6.5409999999999996E-2</v>
      </c>
      <c r="K166" s="101">
        <v>0.15261</v>
      </c>
    </row>
    <row r="167" spans="1:11" ht="30" x14ac:dyDescent="0.25">
      <c r="A167" s="272"/>
      <c r="B167" s="1"/>
      <c r="C167" s="1"/>
      <c r="D167" s="92">
        <v>2.34572</v>
      </c>
      <c r="E167" s="15" t="s">
        <v>170</v>
      </c>
      <c r="F167" s="42">
        <f t="shared" si="5"/>
        <v>2.34572</v>
      </c>
      <c r="G167" s="1"/>
      <c r="H167" s="1"/>
      <c r="I167" s="127" t="s">
        <v>170</v>
      </c>
      <c r="J167" s="92">
        <v>1.17286</v>
      </c>
      <c r="K167" s="101">
        <v>1.17286</v>
      </c>
    </row>
    <row r="168" spans="1:11" x14ac:dyDescent="0.25">
      <c r="A168" s="272"/>
      <c r="B168" s="1"/>
      <c r="C168" s="1"/>
      <c r="D168" s="92">
        <v>5.6599999999999998E-2</v>
      </c>
      <c r="E168" s="15" t="s">
        <v>171</v>
      </c>
      <c r="F168" s="42">
        <f t="shared" si="5"/>
        <v>5.6599999999999998E-2</v>
      </c>
      <c r="G168" s="1"/>
      <c r="H168" s="1"/>
      <c r="I168" s="127" t="s">
        <v>171</v>
      </c>
      <c r="J168" s="92">
        <f>D168</f>
        <v>5.6599999999999998E-2</v>
      </c>
      <c r="K168" s="101">
        <v>0</v>
      </c>
    </row>
    <row r="169" spans="1:11" ht="30" x14ac:dyDescent="0.25">
      <c r="A169" s="272"/>
      <c r="B169" s="1"/>
      <c r="C169" s="1"/>
      <c r="D169" s="92">
        <f>3.61574+0.80357+0.7062</f>
        <v>5.1255100000000002</v>
      </c>
      <c r="E169" s="15" t="s">
        <v>172</v>
      </c>
      <c r="F169" s="93">
        <f t="shared" si="5"/>
        <v>5.1255100000000002</v>
      </c>
      <c r="G169" s="1"/>
      <c r="H169" s="1"/>
      <c r="I169" s="127" t="s">
        <v>172</v>
      </c>
      <c r="J169" s="92">
        <v>5.1260000000000003</v>
      </c>
      <c r="K169" s="92">
        <v>0</v>
      </c>
    </row>
    <row r="170" spans="1:11" x14ac:dyDescent="0.25">
      <c r="A170" s="272"/>
      <c r="B170" s="1"/>
      <c r="C170" s="1"/>
      <c r="D170" s="92">
        <v>0.84545999999999999</v>
      </c>
      <c r="E170" s="1" t="s">
        <v>173</v>
      </c>
      <c r="F170" s="93">
        <f t="shared" si="5"/>
        <v>0.84545999999999999</v>
      </c>
      <c r="G170" s="1"/>
      <c r="H170" s="1"/>
      <c r="I170" s="128" t="s">
        <v>173</v>
      </c>
      <c r="J170" s="92">
        <v>0.84545999999999999</v>
      </c>
      <c r="K170" s="92">
        <v>0</v>
      </c>
    </row>
    <row r="171" spans="1:11" x14ac:dyDescent="0.25">
      <c r="A171" s="272"/>
      <c r="B171" s="1"/>
      <c r="C171" s="1"/>
      <c r="D171" s="92">
        <v>6.0389999999999999E-2</v>
      </c>
      <c r="E171" s="1" t="s">
        <v>174</v>
      </c>
      <c r="F171" s="93">
        <f t="shared" si="5"/>
        <v>6.0389999999999999E-2</v>
      </c>
      <c r="G171" s="1"/>
      <c r="H171" s="1"/>
      <c r="I171" s="128" t="s">
        <v>174</v>
      </c>
      <c r="J171" s="92">
        <v>6.0389999999999999E-2</v>
      </c>
      <c r="K171" s="92">
        <v>0</v>
      </c>
    </row>
    <row r="172" spans="1:11" x14ac:dyDescent="0.25">
      <c r="A172" s="272"/>
      <c r="B172" s="1"/>
      <c r="C172" s="1"/>
      <c r="D172" s="92">
        <v>13.696730000000001</v>
      </c>
      <c r="E172" s="1" t="s">
        <v>77</v>
      </c>
      <c r="F172" s="93">
        <f t="shared" si="5"/>
        <v>13.696730000000001</v>
      </c>
      <c r="G172" s="1"/>
      <c r="H172" s="1"/>
      <c r="I172" s="128" t="s">
        <v>77</v>
      </c>
      <c r="J172" s="92">
        <v>13.13743</v>
      </c>
      <c r="K172" s="92">
        <v>0.55930000000000002</v>
      </c>
    </row>
    <row r="173" spans="1:11" ht="30" x14ac:dyDescent="0.25">
      <c r="A173" s="272"/>
      <c r="B173" s="1"/>
      <c r="C173" s="1"/>
      <c r="D173" s="92">
        <v>0.45902999999999999</v>
      </c>
      <c r="E173" s="15" t="s">
        <v>175</v>
      </c>
      <c r="F173" s="93">
        <f t="shared" si="5"/>
        <v>0.45902999999999999</v>
      </c>
      <c r="G173" s="1"/>
      <c r="H173" s="1"/>
      <c r="I173" s="127" t="s">
        <v>175</v>
      </c>
      <c r="J173" s="92">
        <v>0.35310000000000002</v>
      </c>
      <c r="K173" s="92">
        <v>0.10593</v>
      </c>
    </row>
    <row r="174" spans="1:11" ht="30" x14ac:dyDescent="0.25">
      <c r="A174" s="272"/>
      <c r="B174" s="1"/>
      <c r="C174" s="1"/>
      <c r="D174" s="92">
        <f>0.07918+0.07918+0.07233</f>
        <v>0.23069000000000001</v>
      </c>
      <c r="E174" s="15" t="s">
        <v>176</v>
      </c>
      <c r="F174" s="93">
        <f t="shared" si="5"/>
        <v>0.23069000000000001</v>
      </c>
      <c r="G174" s="1"/>
      <c r="H174" s="1"/>
      <c r="I174" s="127" t="s">
        <v>176</v>
      </c>
      <c r="J174" s="92">
        <v>0.18184</v>
      </c>
      <c r="K174" s="92">
        <v>4.8849999999999998E-2</v>
      </c>
    </row>
    <row r="175" spans="1:11" ht="30" x14ac:dyDescent="0.25">
      <c r="A175" s="272"/>
      <c r="B175" s="1"/>
      <c r="C175" s="1"/>
      <c r="D175" s="92">
        <v>5.2639999999999999E-2</v>
      </c>
      <c r="E175" s="15" t="s">
        <v>177</v>
      </c>
      <c r="F175" s="93">
        <f t="shared" si="5"/>
        <v>5.2639999999999999E-2</v>
      </c>
      <c r="G175" s="1"/>
      <c r="H175" s="1"/>
      <c r="I175" s="127" t="s">
        <v>177</v>
      </c>
      <c r="J175" s="92">
        <v>5.2639999999999999E-2</v>
      </c>
      <c r="K175" s="92">
        <v>0</v>
      </c>
    </row>
    <row r="176" spans="1:11" x14ac:dyDescent="0.25">
      <c r="A176" s="272"/>
      <c r="B176" s="1"/>
      <c r="C176" s="1"/>
      <c r="D176" s="92">
        <v>0.20127</v>
      </c>
      <c r="E176" s="1" t="s">
        <v>178</v>
      </c>
      <c r="F176" s="93">
        <f t="shared" si="5"/>
        <v>0.20127</v>
      </c>
      <c r="G176" s="1"/>
      <c r="H176" s="1"/>
      <c r="I176" s="128" t="s">
        <v>178</v>
      </c>
      <c r="J176" s="92">
        <v>0.20127</v>
      </c>
      <c r="K176" s="92">
        <v>0</v>
      </c>
    </row>
    <row r="177" spans="1:11" x14ac:dyDescent="0.25">
      <c r="A177" s="272"/>
      <c r="B177" s="1"/>
      <c r="C177" s="1"/>
      <c r="D177" s="92">
        <v>0.21929999999999999</v>
      </c>
      <c r="E177" s="1" t="s">
        <v>179</v>
      </c>
      <c r="F177" s="93">
        <f t="shared" si="5"/>
        <v>0.21929999999999999</v>
      </c>
      <c r="G177" s="1"/>
      <c r="H177" s="1"/>
      <c r="I177" s="128" t="s">
        <v>179</v>
      </c>
      <c r="J177" s="92">
        <v>0.11609999999999999</v>
      </c>
      <c r="K177" s="92">
        <v>0.1032</v>
      </c>
    </row>
    <row r="178" spans="1:11" x14ac:dyDescent="0.25">
      <c r="A178" s="272"/>
      <c r="B178" s="1"/>
      <c r="C178" s="1"/>
      <c r="D178" s="92">
        <f>0.222+1.4589</f>
        <v>1.6809000000000001</v>
      </c>
      <c r="E178" s="1" t="s">
        <v>180</v>
      </c>
      <c r="F178" s="93">
        <f t="shared" si="5"/>
        <v>1.6809000000000001</v>
      </c>
      <c r="G178" s="1"/>
      <c r="H178" s="1"/>
      <c r="I178" s="128" t="s">
        <v>180</v>
      </c>
      <c r="J178" s="92">
        <v>1.1297600000000001</v>
      </c>
      <c r="K178" s="92">
        <v>0.55113999999999996</v>
      </c>
    </row>
    <row r="179" spans="1:11" x14ac:dyDescent="0.25">
      <c r="A179" s="272"/>
      <c r="B179" s="1"/>
      <c r="C179" s="1"/>
      <c r="D179" s="92">
        <v>0.2064</v>
      </c>
      <c r="E179" s="1" t="s">
        <v>181</v>
      </c>
      <c r="F179" s="93">
        <f t="shared" si="5"/>
        <v>0.2064</v>
      </c>
      <c r="G179" s="1"/>
      <c r="H179" s="1"/>
      <c r="I179" s="128" t="s">
        <v>181</v>
      </c>
      <c r="J179" s="92">
        <v>0.2064</v>
      </c>
      <c r="K179" s="92">
        <v>0</v>
      </c>
    </row>
    <row r="180" spans="1:11" x14ac:dyDescent="0.25">
      <c r="A180" s="272"/>
      <c r="B180" s="1"/>
      <c r="C180" s="1"/>
      <c r="D180" s="92">
        <v>10.098660000000001</v>
      </c>
      <c r="E180" s="1" t="s">
        <v>182</v>
      </c>
      <c r="F180" s="93">
        <f t="shared" si="5"/>
        <v>10.098660000000001</v>
      </c>
      <c r="G180" s="1"/>
      <c r="H180" s="1"/>
      <c r="I180" s="128" t="s">
        <v>182</v>
      </c>
      <c r="J180" s="92">
        <v>10.098660000000001</v>
      </c>
      <c r="K180" s="92">
        <v>0</v>
      </c>
    </row>
    <row r="181" spans="1:11" x14ac:dyDescent="0.25">
      <c r="A181" s="272"/>
      <c r="B181" s="1"/>
      <c r="C181" s="1"/>
      <c r="D181" s="92">
        <f>2.33046+8.70039</f>
        <v>11.030850000000001</v>
      </c>
      <c r="E181" s="1" t="s">
        <v>89</v>
      </c>
      <c r="F181" s="93">
        <f t="shared" si="5"/>
        <v>11.030850000000001</v>
      </c>
      <c r="G181" s="1"/>
      <c r="H181" s="1"/>
      <c r="I181" s="128" t="s">
        <v>89</v>
      </c>
      <c r="J181" s="92">
        <v>9.6731499999999997</v>
      </c>
      <c r="K181" s="92">
        <v>1.3577900000000001</v>
      </c>
    </row>
    <row r="182" spans="1:11" ht="45" x14ac:dyDescent="0.25">
      <c r="A182" s="272"/>
      <c r="B182" s="1"/>
      <c r="C182" s="1"/>
      <c r="D182" s="92">
        <v>0.73028000000000004</v>
      </c>
      <c r="E182" s="15" t="s">
        <v>183</v>
      </c>
      <c r="F182" s="93">
        <f t="shared" si="5"/>
        <v>0.73028000000000004</v>
      </c>
      <c r="G182" s="1"/>
      <c r="H182" s="1"/>
      <c r="I182" s="127" t="s">
        <v>184</v>
      </c>
      <c r="J182" s="92">
        <v>0.73028000000000004</v>
      </c>
      <c r="K182" s="92">
        <v>0</v>
      </c>
    </row>
    <row r="183" spans="1:11" ht="45" x14ac:dyDescent="0.25">
      <c r="A183" s="272"/>
      <c r="B183" s="1"/>
      <c r="C183" s="1"/>
      <c r="D183" s="92">
        <v>2.4039999999999999</v>
      </c>
      <c r="E183" s="15" t="s">
        <v>185</v>
      </c>
      <c r="F183" s="94">
        <f t="shared" si="5"/>
        <v>2.4039999999999999</v>
      </c>
      <c r="G183" s="1"/>
      <c r="H183" s="1"/>
      <c r="I183" s="127" t="s">
        <v>185</v>
      </c>
      <c r="J183" s="92">
        <v>2.4039999999999999</v>
      </c>
      <c r="K183" s="92">
        <v>0</v>
      </c>
    </row>
    <row r="184" spans="1:11" ht="45" x14ac:dyDescent="0.25">
      <c r="A184" s="272"/>
      <c r="B184" s="1"/>
      <c r="C184" s="1"/>
      <c r="D184" s="92">
        <v>4.0868000000000002</v>
      </c>
      <c r="E184" s="15" t="s">
        <v>186</v>
      </c>
      <c r="F184" s="93">
        <f t="shared" si="5"/>
        <v>4.0868000000000002</v>
      </c>
      <c r="G184" s="1"/>
      <c r="H184" s="1"/>
      <c r="I184" s="127" t="s">
        <v>186</v>
      </c>
      <c r="J184" s="92">
        <v>2.99899</v>
      </c>
      <c r="K184" s="92">
        <v>1.0878099999999999</v>
      </c>
    </row>
    <row r="185" spans="1:11" ht="45" x14ac:dyDescent="0.25">
      <c r="A185" s="272"/>
      <c r="B185" s="1"/>
      <c r="C185" s="1"/>
      <c r="D185" s="92">
        <v>4.3272000000000004</v>
      </c>
      <c r="E185" s="15" t="s">
        <v>204</v>
      </c>
      <c r="F185" s="93">
        <f t="shared" si="5"/>
        <v>4.3272000000000004</v>
      </c>
      <c r="G185" s="1"/>
      <c r="H185" s="1"/>
      <c r="I185" s="127" t="s">
        <v>186</v>
      </c>
      <c r="J185" s="92">
        <v>1.3823000000000001</v>
      </c>
      <c r="K185" s="92">
        <v>2.9449000000000001</v>
      </c>
    </row>
    <row r="186" spans="1:11" ht="45" x14ac:dyDescent="0.25">
      <c r="A186" s="272"/>
      <c r="B186" s="1"/>
      <c r="C186" s="1"/>
      <c r="D186" s="92">
        <v>3.3054999999999999</v>
      </c>
      <c r="E186" s="15" t="s">
        <v>205</v>
      </c>
      <c r="F186" s="93">
        <f t="shared" si="5"/>
        <v>3.3054999999999999</v>
      </c>
      <c r="G186" s="1"/>
      <c r="H186" s="1"/>
      <c r="I186" s="127" t="s">
        <v>205</v>
      </c>
      <c r="J186" s="92">
        <v>3.3054999999999999</v>
      </c>
      <c r="K186" s="92">
        <v>0</v>
      </c>
    </row>
    <row r="187" spans="1:11" x14ac:dyDescent="0.25">
      <c r="A187" s="272"/>
      <c r="B187" s="1"/>
      <c r="C187" s="1"/>
      <c r="D187" s="92">
        <v>2.3210199999999999</v>
      </c>
      <c r="E187" s="15" t="s">
        <v>187</v>
      </c>
      <c r="F187" s="93">
        <v>2.3210199999999999</v>
      </c>
      <c r="G187" s="1"/>
      <c r="H187" s="1"/>
      <c r="I187" s="127" t="s">
        <v>187</v>
      </c>
      <c r="J187" s="92">
        <v>2.3210199999999999</v>
      </c>
      <c r="K187" s="92">
        <v>0</v>
      </c>
    </row>
    <row r="188" spans="1:11" x14ac:dyDescent="0.25">
      <c r="A188" s="272"/>
      <c r="B188" s="1"/>
      <c r="C188" s="1"/>
      <c r="D188" s="92">
        <v>1.7351300000000001</v>
      </c>
      <c r="E188" s="15" t="s">
        <v>188</v>
      </c>
      <c r="F188" s="93">
        <f t="shared" ref="F188:F194" si="6">D188</f>
        <v>1.7351300000000001</v>
      </c>
      <c r="G188" s="1"/>
      <c r="H188" s="1"/>
      <c r="I188" s="127" t="s">
        <v>188</v>
      </c>
      <c r="J188" s="92">
        <v>1.7351300000000001</v>
      </c>
      <c r="K188" s="92">
        <v>0</v>
      </c>
    </row>
    <row r="189" spans="1:11" x14ac:dyDescent="0.25">
      <c r="A189" s="272"/>
      <c r="B189" s="1"/>
      <c r="C189" s="1"/>
      <c r="D189" s="92">
        <f>0.8113+1.38886+0.13968</f>
        <v>2.3398399999999997</v>
      </c>
      <c r="E189" s="15" t="s">
        <v>91</v>
      </c>
      <c r="F189" s="93">
        <f t="shared" si="6"/>
        <v>2.3398399999999997</v>
      </c>
      <c r="G189" s="1"/>
      <c r="H189" s="1"/>
      <c r="I189" s="127" t="s">
        <v>91</v>
      </c>
      <c r="J189" s="92">
        <f>0.8113+1.38886+0.13968</f>
        <v>2.3398399999999997</v>
      </c>
      <c r="K189" s="92">
        <v>0</v>
      </c>
    </row>
    <row r="190" spans="1:11" ht="30" x14ac:dyDescent="0.25">
      <c r="A190" s="272"/>
      <c r="B190" s="1"/>
      <c r="C190" s="1"/>
      <c r="D190" s="92">
        <v>1.83538</v>
      </c>
      <c r="E190" s="15" t="s">
        <v>189</v>
      </c>
      <c r="F190" s="93">
        <f t="shared" si="6"/>
        <v>1.83538</v>
      </c>
      <c r="G190" s="1"/>
      <c r="H190" s="1"/>
      <c r="I190" s="127" t="s">
        <v>189</v>
      </c>
      <c r="J190" s="92">
        <v>0</v>
      </c>
      <c r="K190" s="92">
        <v>1.83538</v>
      </c>
    </row>
    <row r="191" spans="1:11" x14ac:dyDescent="0.25">
      <c r="A191" s="272"/>
      <c r="B191" s="1"/>
      <c r="C191" s="1"/>
      <c r="D191" s="92">
        <v>0.48992999999999998</v>
      </c>
      <c r="E191" s="15" t="s">
        <v>197</v>
      </c>
      <c r="F191" s="93">
        <f t="shared" si="6"/>
        <v>0.48992999999999998</v>
      </c>
      <c r="G191" s="1"/>
      <c r="H191" s="1"/>
      <c r="I191" s="127" t="s">
        <v>197</v>
      </c>
      <c r="J191" s="92">
        <v>0.48992999999999998</v>
      </c>
      <c r="K191" s="92">
        <v>0</v>
      </c>
    </row>
    <row r="192" spans="1:11" x14ac:dyDescent="0.25">
      <c r="A192" s="272"/>
      <c r="B192" s="1"/>
      <c r="C192" s="1"/>
      <c r="D192" s="92">
        <v>6.7630299999999997</v>
      </c>
      <c r="E192" s="15" t="s">
        <v>190</v>
      </c>
      <c r="F192" s="93">
        <f t="shared" si="6"/>
        <v>6.7630299999999997</v>
      </c>
      <c r="G192" s="1"/>
      <c r="H192" s="1"/>
      <c r="I192" s="127" t="s">
        <v>190</v>
      </c>
      <c r="J192" s="92">
        <v>6.7630299999999997</v>
      </c>
      <c r="K192" s="92">
        <v>0</v>
      </c>
    </row>
    <row r="193" spans="1:12" x14ac:dyDescent="0.25">
      <c r="A193" s="272"/>
      <c r="B193" s="1"/>
      <c r="C193" s="1"/>
      <c r="D193" s="92">
        <v>0.19155</v>
      </c>
      <c r="E193" s="15" t="s">
        <v>191</v>
      </c>
      <c r="F193" s="93">
        <f t="shared" si="6"/>
        <v>0.19155</v>
      </c>
      <c r="G193" s="1"/>
      <c r="H193" s="1"/>
      <c r="I193" s="127" t="s">
        <v>191</v>
      </c>
      <c r="J193" s="92">
        <v>0.16206999999999999</v>
      </c>
      <c r="K193" s="92">
        <v>2.9479999999999999E-2</v>
      </c>
    </row>
    <row r="194" spans="1:12" x14ac:dyDescent="0.25">
      <c r="A194" s="272"/>
      <c r="B194" s="1"/>
      <c r="C194" s="1"/>
      <c r="D194" s="92">
        <v>0.47499999999999998</v>
      </c>
      <c r="E194" s="15" t="s">
        <v>192</v>
      </c>
      <c r="F194" s="93">
        <f t="shared" si="6"/>
        <v>0.47499999999999998</v>
      </c>
      <c r="G194" s="1"/>
      <c r="H194" s="1"/>
      <c r="I194" s="127" t="s">
        <v>192</v>
      </c>
      <c r="J194" s="92">
        <v>0.33250000000000002</v>
      </c>
      <c r="K194" s="92">
        <v>0.14249999999999999</v>
      </c>
    </row>
    <row r="195" spans="1:12" x14ac:dyDescent="0.25">
      <c r="A195" s="272"/>
      <c r="B195" s="1"/>
      <c r="C195" s="1"/>
      <c r="D195" s="92">
        <v>0.68240000000000001</v>
      </c>
      <c r="E195" s="15" t="s">
        <v>193</v>
      </c>
      <c r="F195" s="93">
        <v>0.68240000000000001</v>
      </c>
      <c r="G195" s="1"/>
      <c r="H195" s="1"/>
      <c r="I195" s="127" t="s">
        <v>193</v>
      </c>
      <c r="J195" s="92">
        <v>0.68240000000000001</v>
      </c>
      <c r="K195" s="92">
        <v>0</v>
      </c>
    </row>
    <row r="196" spans="1:12" x14ac:dyDescent="0.25">
      <c r="A196" s="272"/>
      <c r="B196" s="1"/>
      <c r="C196" s="1"/>
      <c r="D196" s="92">
        <f>1.27459+0.79662</f>
        <v>2.0712099999999998</v>
      </c>
      <c r="E196" s="15" t="s">
        <v>194</v>
      </c>
      <c r="F196" s="93">
        <f t="shared" ref="F196:F205" si="7">D196</f>
        <v>2.0712099999999998</v>
      </c>
      <c r="G196" s="1"/>
      <c r="H196" s="1"/>
      <c r="I196" s="127" t="s">
        <v>194</v>
      </c>
      <c r="J196" s="92">
        <v>1.4976499999999999</v>
      </c>
      <c r="K196" s="92">
        <v>0.57355999999999996</v>
      </c>
    </row>
    <row r="197" spans="1:12" x14ac:dyDescent="0.25">
      <c r="A197" s="272"/>
      <c r="B197" s="1"/>
      <c r="C197" s="1"/>
      <c r="D197" s="92">
        <v>0.68240000000000001</v>
      </c>
      <c r="E197" s="15" t="s">
        <v>195</v>
      </c>
      <c r="F197" s="93">
        <f t="shared" si="7"/>
        <v>0.68240000000000001</v>
      </c>
      <c r="G197" s="1"/>
      <c r="H197" s="1"/>
      <c r="I197" s="127" t="s">
        <v>195</v>
      </c>
      <c r="J197" s="92">
        <v>0.68240000000000001</v>
      </c>
      <c r="K197" s="92">
        <v>0</v>
      </c>
    </row>
    <row r="198" spans="1:12" x14ac:dyDescent="0.25">
      <c r="A198" s="272"/>
      <c r="B198" s="1"/>
      <c r="C198" s="1"/>
      <c r="D198" s="92">
        <f>1.32134+1.32734</f>
        <v>2.6486799999999997</v>
      </c>
      <c r="E198" s="15" t="s">
        <v>196</v>
      </c>
      <c r="F198" s="93">
        <f t="shared" si="7"/>
        <v>2.6486799999999997</v>
      </c>
      <c r="G198" s="1"/>
      <c r="H198" s="1"/>
      <c r="I198" s="127" t="s">
        <v>196</v>
      </c>
      <c r="J198" s="92">
        <v>0.39639999999999997</v>
      </c>
      <c r="K198" s="92">
        <v>2.2522799999999998</v>
      </c>
    </row>
    <row r="199" spans="1:12" ht="30" x14ac:dyDescent="0.25">
      <c r="A199" s="272"/>
      <c r="B199" s="1"/>
      <c r="C199" s="1"/>
      <c r="D199" s="92">
        <v>0.22128</v>
      </c>
      <c r="E199" s="15" t="s">
        <v>198</v>
      </c>
      <c r="F199" s="93">
        <f t="shared" si="7"/>
        <v>0.22128</v>
      </c>
      <c r="G199" s="1"/>
      <c r="H199" s="1"/>
      <c r="I199" s="127" t="s">
        <v>198</v>
      </c>
      <c r="J199" s="92">
        <v>0.22128</v>
      </c>
      <c r="K199" s="92">
        <v>0</v>
      </c>
    </row>
    <row r="200" spans="1:12" x14ac:dyDescent="0.25">
      <c r="A200" s="272"/>
      <c r="B200" s="1"/>
      <c r="C200" s="1"/>
      <c r="D200" s="92">
        <f>0.09054+0.368+0.093+0.44156</f>
        <v>0.99310000000000009</v>
      </c>
      <c r="E200" s="15" t="s">
        <v>101</v>
      </c>
      <c r="F200" s="93">
        <f t="shared" si="7"/>
        <v>0.99310000000000009</v>
      </c>
      <c r="G200" s="1"/>
      <c r="H200" s="1"/>
      <c r="I200" s="127" t="s">
        <v>101</v>
      </c>
      <c r="J200" s="92">
        <v>0.87656000000000001</v>
      </c>
      <c r="K200" s="92">
        <v>0.11654</v>
      </c>
    </row>
    <row r="201" spans="1:12" x14ac:dyDescent="0.25">
      <c r="A201" s="272"/>
      <c r="B201" s="1"/>
      <c r="C201" s="1"/>
      <c r="D201" s="92">
        <f>0.549+1.396</f>
        <v>1.9449999999999998</v>
      </c>
      <c r="E201" s="15" t="s">
        <v>200</v>
      </c>
      <c r="F201" s="93">
        <f t="shared" si="7"/>
        <v>1.9449999999999998</v>
      </c>
      <c r="G201" s="1"/>
      <c r="H201" s="1"/>
      <c r="I201" s="127" t="s">
        <v>199</v>
      </c>
      <c r="J201" s="92">
        <v>1.43546</v>
      </c>
      <c r="K201" s="92">
        <v>0.50953999999999999</v>
      </c>
    </row>
    <row r="202" spans="1:12" x14ac:dyDescent="0.25">
      <c r="A202" s="272"/>
      <c r="B202" s="1"/>
      <c r="C202" s="1"/>
      <c r="D202" s="92">
        <f>0.4171+0.535+0.9416</f>
        <v>1.8936999999999999</v>
      </c>
      <c r="E202" s="15" t="s">
        <v>104</v>
      </c>
      <c r="F202" s="93">
        <f t="shared" si="7"/>
        <v>1.8936999999999999</v>
      </c>
      <c r="G202" s="1"/>
      <c r="H202" s="1"/>
      <c r="I202" s="127" t="s">
        <v>104</v>
      </c>
      <c r="J202" s="92">
        <v>1.3045599999999999</v>
      </c>
      <c r="K202" s="92">
        <v>0.58914</v>
      </c>
    </row>
    <row r="203" spans="1:12" x14ac:dyDescent="0.25">
      <c r="A203" s="272"/>
      <c r="B203" s="1"/>
      <c r="C203" s="1"/>
      <c r="D203" s="92">
        <v>1.7784</v>
      </c>
      <c r="E203" s="15" t="s">
        <v>201</v>
      </c>
      <c r="F203" s="93">
        <f t="shared" si="7"/>
        <v>1.7784</v>
      </c>
      <c r="G203" s="1"/>
      <c r="H203" s="1"/>
      <c r="I203" s="127" t="s">
        <v>201</v>
      </c>
      <c r="J203" s="92">
        <v>1.69746</v>
      </c>
      <c r="K203" s="92">
        <v>8.0939999999999998E-2</v>
      </c>
    </row>
    <row r="204" spans="1:12" x14ac:dyDescent="0.25">
      <c r="A204" s="272"/>
      <c r="B204" s="1"/>
      <c r="C204" s="1"/>
      <c r="D204" s="92">
        <f>0.21507+1.19928</f>
        <v>1.41435</v>
      </c>
      <c r="E204" s="15" t="s">
        <v>202</v>
      </c>
      <c r="F204" s="93">
        <f t="shared" si="7"/>
        <v>1.41435</v>
      </c>
      <c r="G204" s="1"/>
      <c r="H204" s="1"/>
      <c r="I204" s="127" t="s">
        <v>202</v>
      </c>
      <c r="J204" s="92">
        <f>0.21507+1.19928</f>
        <v>1.41435</v>
      </c>
      <c r="K204" s="92">
        <v>0</v>
      </c>
    </row>
    <row r="205" spans="1:12" x14ac:dyDescent="0.25">
      <c r="A205" s="272"/>
      <c r="B205" s="1"/>
      <c r="C205" s="1"/>
      <c r="D205" s="92">
        <v>0.15095</v>
      </c>
      <c r="E205" s="15" t="s">
        <v>203</v>
      </c>
      <c r="F205" s="93">
        <f t="shared" si="7"/>
        <v>0.15095</v>
      </c>
      <c r="G205" s="1"/>
      <c r="H205" s="1"/>
      <c r="I205" s="127" t="s">
        <v>203</v>
      </c>
      <c r="J205" s="92">
        <v>0.15095</v>
      </c>
      <c r="K205" s="92">
        <v>0</v>
      </c>
    </row>
    <row r="206" spans="1:12" x14ac:dyDescent="0.25">
      <c r="A206" s="262" t="s">
        <v>14</v>
      </c>
      <c r="B206" s="1"/>
      <c r="C206" s="1"/>
      <c r="D206" s="105"/>
      <c r="E206" s="1"/>
      <c r="F206" s="42">
        <v>0</v>
      </c>
      <c r="G206" s="1"/>
      <c r="H206" s="1"/>
      <c r="I206" s="128"/>
      <c r="J206" s="134"/>
      <c r="K206" s="140">
        <v>0</v>
      </c>
      <c r="L206" s="38"/>
    </row>
    <row r="207" spans="1:12" x14ac:dyDescent="0.25">
      <c r="A207" s="263"/>
      <c r="B207" s="1"/>
      <c r="C207" s="1"/>
      <c r="D207" s="105"/>
      <c r="E207" s="1"/>
      <c r="F207" s="41"/>
      <c r="G207" s="1"/>
      <c r="H207" s="1"/>
      <c r="I207" s="128"/>
      <c r="J207" s="92"/>
      <c r="K207" s="92"/>
    </row>
    <row r="208" spans="1:12" x14ac:dyDescent="0.25">
      <c r="A208" s="262" t="s">
        <v>15</v>
      </c>
      <c r="B208" s="1"/>
      <c r="C208" s="1"/>
      <c r="D208" s="105"/>
      <c r="E208" s="1"/>
      <c r="F208" s="42">
        <v>0</v>
      </c>
      <c r="G208" s="1"/>
      <c r="H208" s="1"/>
      <c r="I208" s="128"/>
      <c r="J208" s="92"/>
      <c r="K208" s="120">
        <v>0</v>
      </c>
    </row>
    <row r="209" spans="1:11" x14ac:dyDescent="0.25">
      <c r="A209" s="263"/>
      <c r="B209" s="1"/>
      <c r="C209" s="1"/>
      <c r="D209" s="105"/>
      <c r="E209" s="1"/>
      <c r="F209" s="41"/>
      <c r="G209" s="1"/>
      <c r="H209" s="1"/>
      <c r="I209" s="128"/>
      <c r="J209" s="92"/>
      <c r="K209" s="92"/>
    </row>
    <row r="210" spans="1:11" ht="33" customHeight="1" x14ac:dyDescent="0.25">
      <c r="A210" s="4" t="s">
        <v>16</v>
      </c>
      <c r="B210" s="1"/>
      <c r="C210" s="42">
        <f>14.691+C115</f>
        <v>33.356000000000002</v>
      </c>
      <c r="D210" s="106">
        <f>SUM(D13:D113)+SUM(D119:D205)</f>
        <v>430.33121000000006</v>
      </c>
      <c r="E210" s="6" t="s">
        <v>17</v>
      </c>
      <c r="F210" s="42">
        <f>C210+D210</f>
        <v>463.68721000000005</v>
      </c>
      <c r="G210" s="6" t="s">
        <v>17</v>
      </c>
      <c r="H210" s="138">
        <f>SUM(H115:H118)</f>
        <v>33.356000000000002</v>
      </c>
      <c r="I210" s="130" t="s">
        <v>17</v>
      </c>
      <c r="J210" s="120">
        <f>SUM(J13:J205)</f>
        <v>364.26939999999991</v>
      </c>
      <c r="K210" s="120">
        <f>SUM(K13:K205)-K114</f>
        <v>66.062310000000011</v>
      </c>
    </row>
    <row r="211" spans="1:11" ht="21.75" customHeight="1" x14ac:dyDescent="0.25">
      <c r="A211" s="70"/>
      <c r="B211" s="64"/>
      <c r="C211" s="71"/>
      <c r="D211" s="107"/>
      <c r="E211" s="73"/>
      <c r="F211" s="74"/>
      <c r="G211" s="73"/>
      <c r="H211" s="75"/>
      <c r="I211" s="131"/>
      <c r="J211" s="132"/>
      <c r="K211" s="132"/>
    </row>
    <row r="212" spans="1:11" x14ac:dyDescent="0.25">
      <c r="F212" s="78"/>
      <c r="G212" s="79"/>
    </row>
    <row r="213" spans="1:11" x14ac:dyDescent="0.25">
      <c r="B213" s="63" t="s">
        <v>298</v>
      </c>
      <c r="C213" s="67"/>
      <c r="D213" s="108"/>
      <c r="E213" s="65"/>
      <c r="F213" s="265" t="s">
        <v>300</v>
      </c>
      <c r="G213" s="265"/>
      <c r="H213" s="8"/>
      <c r="I213" s="112"/>
    </row>
    <row r="214" spans="1:11" x14ac:dyDescent="0.25">
      <c r="B214" s="63" t="s">
        <v>299</v>
      </c>
      <c r="C214" s="67"/>
      <c r="D214" s="109"/>
      <c r="E214" s="67"/>
      <c r="F214" s="142"/>
      <c r="G214" s="81"/>
      <c r="H214" s="8"/>
      <c r="I214" s="112"/>
    </row>
    <row r="215" spans="1:11" x14ac:dyDescent="0.25">
      <c r="B215" s="63"/>
      <c r="C215" s="8"/>
      <c r="D215" s="110"/>
      <c r="E215" s="8"/>
      <c r="F215" s="142"/>
      <c r="G215" s="81"/>
      <c r="H215" s="8"/>
      <c r="I215" s="112"/>
    </row>
    <row r="216" spans="1:11" x14ac:dyDescent="0.25">
      <c r="B216" s="63" t="s">
        <v>301</v>
      </c>
      <c r="C216" s="67"/>
      <c r="D216" s="108"/>
      <c r="E216" s="65"/>
      <c r="F216" s="265" t="s">
        <v>134</v>
      </c>
      <c r="G216" s="265"/>
      <c r="H216" s="8"/>
      <c r="I216" s="112"/>
    </row>
    <row r="217" spans="1:11" x14ac:dyDescent="0.25">
      <c r="B217" s="63"/>
      <c r="C217" s="67"/>
      <c r="D217" s="109"/>
      <c r="E217" s="67"/>
      <c r="F217" s="142"/>
      <c r="G217" s="81"/>
      <c r="H217" s="8"/>
      <c r="I217" s="112"/>
    </row>
    <row r="218" spans="1:11" s="31" customFormat="1" x14ac:dyDescent="0.25">
      <c r="A218"/>
      <c r="B218" s="63"/>
      <c r="C218" s="8"/>
      <c r="D218" s="110"/>
      <c r="E218" s="8"/>
      <c r="F218" s="142"/>
      <c r="G218" s="81"/>
      <c r="H218" s="8"/>
      <c r="I218" s="112"/>
      <c r="J218" s="113"/>
      <c r="K218" s="113"/>
    </row>
    <row r="219" spans="1:11" s="31" customFormat="1" x14ac:dyDescent="0.25">
      <c r="A219"/>
      <c r="B219" s="63" t="s">
        <v>131</v>
      </c>
      <c r="C219" s="65"/>
      <c r="D219" s="108"/>
      <c r="E219" s="65"/>
      <c r="F219" s="265" t="s">
        <v>135</v>
      </c>
      <c r="G219" s="265"/>
      <c r="H219" s="8"/>
      <c r="I219" s="112"/>
      <c r="J219" s="113"/>
      <c r="K219" s="113"/>
    </row>
  </sheetData>
  <mergeCells count="17">
    <mergeCell ref="F216:G216"/>
    <mergeCell ref="F219:G219"/>
    <mergeCell ref="K11:K12"/>
    <mergeCell ref="A13:A114"/>
    <mergeCell ref="A115:A205"/>
    <mergeCell ref="A206:A207"/>
    <mergeCell ref="A208:A209"/>
    <mergeCell ref="F213:G213"/>
    <mergeCell ref="D5:H5"/>
    <mergeCell ref="B6:J6"/>
    <mergeCell ref="B7:J7"/>
    <mergeCell ref="C8:I8"/>
    <mergeCell ref="A11:A12"/>
    <mergeCell ref="B11:B12"/>
    <mergeCell ref="C11:E11"/>
    <mergeCell ref="F11:F12"/>
    <mergeCell ref="G11:J11"/>
  </mergeCells>
  <pageMargins left="0.31496062992125984" right="0.11811023622047245" top="0.15748031496062992" bottom="0.15748031496062992" header="0" footer="0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95"/>
  <sheetViews>
    <sheetView topLeftCell="A272" zoomScaleNormal="100" workbookViewId="0">
      <selection activeCell="K285" sqref="K285"/>
    </sheetView>
  </sheetViews>
  <sheetFormatPr defaultRowHeight="15" x14ac:dyDescent="0.25"/>
  <cols>
    <col min="1" max="1" width="9.42578125" customWidth="1"/>
    <col min="2" max="2" width="19.85546875" customWidth="1"/>
    <col min="3" max="3" width="9.42578125" customWidth="1"/>
    <col min="4" max="4" width="10.85546875" style="95" customWidth="1"/>
    <col min="5" max="5" width="24.7109375" customWidth="1"/>
    <col min="6" max="6" width="11.7109375" style="38" customWidth="1"/>
    <col min="7" max="7" width="14" customWidth="1"/>
    <col min="8" max="8" width="10" customWidth="1"/>
    <col min="9" max="9" width="26.140625" style="117" customWidth="1"/>
    <col min="10" max="10" width="9.42578125" style="113" customWidth="1"/>
    <col min="11" max="11" width="17.28515625" style="113" customWidth="1"/>
  </cols>
  <sheetData>
    <row r="1" spans="1:11" x14ac:dyDescent="0.25">
      <c r="I1" s="112" t="s">
        <v>19</v>
      </c>
    </row>
    <row r="2" spans="1:11" x14ac:dyDescent="0.25">
      <c r="I2" s="112" t="s">
        <v>20</v>
      </c>
    </row>
    <row r="3" spans="1:11" x14ac:dyDescent="0.25">
      <c r="I3" s="112" t="s">
        <v>21</v>
      </c>
    </row>
    <row r="5" spans="1:11" ht="18.75" x14ac:dyDescent="0.3">
      <c r="B5" s="10"/>
      <c r="C5" s="10"/>
      <c r="D5" s="257" t="s">
        <v>18</v>
      </c>
      <c r="E5" s="257"/>
      <c r="F5" s="257"/>
      <c r="G5" s="257"/>
      <c r="H5" s="257"/>
      <c r="I5" s="114"/>
      <c r="J5" s="115"/>
    </row>
    <row r="6" spans="1:11" ht="18.75" x14ac:dyDescent="0.3">
      <c r="B6" s="258" t="s">
        <v>49</v>
      </c>
      <c r="C6" s="258"/>
      <c r="D6" s="258"/>
      <c r="E6" s="258"/>
      <c r="F6" s="258"/>
      <c r="G6" s="258"/>
      <c r="H6" s="258"/>
      <c r="I6" s="258"/>
      <c r="J6" s="258"/>
    </row>
    <row r="7" spans="1:11" ht="18.75" x14ac:dyDescent="0.3">
      <c r="B7" s="259" t="s">
        <v>346</v>
      </c>
      <c r="C7" s="259"/>
      <c r="D7" s="259"/>
      <c r="E7" s="259"/>
      <c r="F7" s="259"/>
      <c r="G7" s="259"/>
      <c r="H7" s="259"/>
      <c r="I7" s="259"/>
      <c r="J7" s="259"/>
    </row>
    <row r="8" spans="1:11" x14ac:dyDescent="0.25">
      <c r="B8" s="9"/>
      <c r="C8" s="260" t="s">
        <v>50</v>
      </c>
      <c r="D8" s="260"/>
      <c r="E8" s="260"/>
      <c r="F8" s="261"/>
      <c r="G8" s="261"/>
      <c r="H8" s="261"/>
      <c r="I8" s="261"/>
      <c r="J8" s="116"/>
    </row>
    <row r="9" spans="1:11" x14ac:dyDescent="0.25">
      <c r="D9" s="96"/>
      <c r="E9" s="7"/>
      <c r="F9" s="39"/>
      <c r="G9" s="7"/>
      <c r="H9" s="7"/>
    </row>
    <row r="11" spans="1:11" ht="56.25" customHeight="1" x14ac:dyDescent="0.25">
      <c r="A11" s="264" t="s">
        <v>0</v>
      </c>
      <c r="B11" s="264" t="s">
        <v>1</v>
      </c>
      <c r="C11" s="256" t="s">
        <v>2</v>
      </c>
      <c r="D11" s="256"/>
      <c r="E11" s="256"/>
      <c r="F11" s="254" t="s">
        <v>6</v>
      </c>
      <c r="G11" s="255" t="s">
        <v>7</v>
      </c>
      <c r="H11" s="255"/>
      <c r="I11" s="255"/>
      <c r="J11" s="255"/>
      <c r="K11" s="269" t="s">
        <v>11</v>
      </c>
    </row>
    <row r="12" spans="1:11" ht="90.75" customHeight="1" x14ac:dyDescent="0.25">
      <c r="A12" s="264"/>
      <c r="B12" s="264"/>
      <c r="C12" s="147" t="s">
        <v>3</v>
      </c>
      <c r="D12" s="97" t="s">
        <v>4</v>
      </c>
      <c r="E12" s="12" t="s">
        <v>5</v>
      </c>
      <c r="F12" s="254"/>
      <c r="G12" s="149" t="s">
        <v>8</v>
      </c>
      <c r="H12" s="147" t="s">
        <v>9</v>
      </c>
      <c r="I12" s="118" t="s">
        <v>10</v>
      </c>
      <c r="J12" s="98" t="s">
        <v>9</v>
      </c>
      <c r="K12" s="269"/>
    </row>
    <row r="13" spans="1:11" ht="51" customHeight="1" x14ac:dyDescent="0.3">
      <c r="A13" s="273" t="s">
        <v>13</v>
      </c>
      <c r="B13" s="52" t="s">
        <v>22</v>
      </c>
      <c r="C13" s="44"/>
      <c r="D13" s="98">
        <v>10.39</v>
      </c>
      <c r="E13" s="13" t="s">
        <v>23</v>
      </c>
      <c r="F13" s="40">
        <f>D13</f>
        <v>10.39</v>
      </c>
      <c r="G13" s="45"/>
      <c r="H13" s="45"/>
      <c r="I13" s="119" t="s">
        <v>23</v>
      </c>
      <c r="J13" s="98">
        <v>10.39</v>
      </c>
      <c r="K13" s="120">
        <v>0</v>
      </c>
    </row>
    <row r="14" spans="1:11" x14ac:dyDescent="0.25">
      <c r="A14" s="273"/>
      <c r="B14" s="45"/>
      <c r="C14" s="44"/>
      <c r="D14" s="98">
        <f>0.14+0.14</f>
        <v>0.28000000000000003</v>
      </c>
      <c r="E14" s="13" t="s">
        <v>24</v>
      </c>
      <c r="F14" s="40">
        <f t="shared" ref="F14:F77" si="0">D14</f>
        <v>0.28000000000000003</v>
      </c>
      <c r="G14" s="45"/>
      <c r="H14" s="45"/>
      <c r="I14" s="119" t="s">
        <v>24</v>
      </c>
      <c r="J14" s="101">
        <f>0.14+0.14</f>
        <v>0.28000000000000003</v>
      </c>
      <c r="K14" s="101">
        <v>0</v>
      </c>
    </row>
    <row r="15" spans="1:11" ht="51" customHeight="1" x14ac:dyDescent="0.25">
      <c r="A15" s="274"/>
      <c r="B15" s="45"/>
      <c r="C15" s="44"/>
      <c r="D15" s="98">
        <v>4.3499999999999996</v>
      </c>
      <c r="E15" s="13" t="s">
        <v>117</v>
      </c>
      <c r="F15" s="40">
        <f t="shared" si="0"/>
        <v>4.3499999999999996</v>
      </c>
      <c r="G15" s="45"/>
      <c r="H15" s="45"/>
      <c r="I15" s="119" t="s">
        <v>117</v>
      </c>
      <c r="J15" s="98">
        <v>4.3499999999999996</v>
      </c>
      <c r="K15" s="101">
        <v>0</v>
      </c>
    </row>
    <row r="16" spans="1:11" x14ac:dyDescent="0.25">
      <c r="A16" s="274"/>
      <c r="B16" s="45"/>
      <c r="C16" s="44"/>
      <c r="D16" s="98">
        <v>4.1539999999999999</v>
      </c>
      <c r="E16" s="13" t="s">
        <v>25</v>
      </c>
      <c r="F16" s="40">
        <f t="shared" si="0"/>
        <v>4.1539999999999999</v>
      </c>
      <c r="G16" s="45"/>
      <c r="H16" s="45"/>
      <c r="I16" s="119" t="s">
        <v>25</v>
      </c>
      <c r="J16" s="98">
        <v>4.1539999999999999</v>
      </c>
      <c r="K16" s="101">
        <v>0</v>
      </c>
    </row>
    <row r="17" spans="1:11" ht="30" customHeight="1" x14ac:dyDescent="0.25">
      <c r="A17" s="274"/>
      <c r="B17" s="45"/>
      <c r="C17" s="44"/>
      <c r="D17" s="98">
        <v>10.898999999999999</v>
      </c>
      <c r="E17" s="13" t="s">
        <v>26</v>
      </c>
      <c r="F17" s="40">
        <f t="shared" si="0"/>
        <v>10.898999999999999</v>
      </c>
      <c r="G17" s="45"/>
      <c r="H17" s="45"/>
      <c r="I17" s="119" t="s">
        <v>26</v>
      </c>
      <c r="J17" s="98">
        <v>10.898999999999999</v>
      </c>
      <c r="K17" s="101">
        <v>0</v>
      </c>
    </row>
    <row r="18" spans="1:11" ht="32.25" customHeight="1" x14ac:dyDescent="0.25">
      <c r="A18" s="274"/>
      <c r="B18" s="45"/>
      <c r="C18" s="44"/>
      <c r="D18" s="98">
        <v>0.3</v>
      </c>
      <c r="E18" s="13" t="s">
        <v>115</v>
      </c>
      <c r="F18" s="40">
        <f t="shared" si="0"/>
        <v>0.3</v>
      </c>
      <c r="G18" s="45"/>
      <c r="H18" s="45"/>
      <c r="I18" s="119" t="s">
        <v>116</v>
      </c>
      <c r="J18" s="98">
        <v>0.3</v>
      </c>
      <c r="K18" s="101">
        <v>0</v>
      </c>
    </row>
    <row r="19" spans="1:11" ht="31.5" customHeight="1" x14ac:dyDescent="0.25">
      <c r="A19" s="274"/>
      <c r="B19" s="45"/>
      <c r="C19" s="44"/>
      <c r="D19" s="99">
        <v>0.27</v>
      </c>
      <c r="E19" s="14" t="s">
        <v>27</v>
      </c>
      <c r="F19" s="40">
        <f t="shared" si="0"/>
        <v>0.27</v>
      </c>
      <c r="G19" s="45"/>
      <c r="H19" s="45"/>
      <c r="I19" s="121" t="s">
        <v>27</v>
      </c>
      <c r="J19" s="99">
        <v>0.27</v>
      </c>
      <c r="K19" s="101">
        <v>0</v>
      </c>
    </row>
    <row r="20" spans="1:11" x14ac:dyDescent="0.25">
      <c r="A20" s="274"/>
      <c r="B20" s="45"/>
      <c r="C20" s="44"/>
      <c r="D20" s="98">
        <v>0.63</v>
      </c>
      <c r="E20" s="13" t="s">
        <v>113</v>
      </c>
      <c r="F20" s="40">
        <f t="shared" si="0"/>
        <v>0.63</v>
      </c>
      <c r="G20" s="45"/>
      <c r="H20" s="45"/>
      <c r="I20" s="119" t="s">
        <v>113</v>
      </c>
      <c r="J20" s="98">
        <v>0.63</v>
      </c>
      <c r="K20" s="101">
        <v>0</v>
      </c>
    </row>
    <row r="21" spans="1:11" ht="30" x14ac:dyDescent="0.25">
      <c r="A21" s="274"/>
      <c r="B21" s="45"/>
      <c r="C21" s="44"/>
      <c r="D21" s="98">
        <v>1.1399999999999999</v>
      </c>
      <c r="E21" s="13" t="s">
        <v>28</v>
      </c>
      <c r="F21" s="40">
        <f t="shared" si="0"/>
        <v>1.1399999999999999</v>
      </c>
      <c r="G21" s="45"/>
      <c r="H21" s="45"/>
      <c r="I21" s="119" t="s">
        <v>28</v>
      </c>
      <c r="J21" s="98">
        <v>1.1399999999999999</v>
      </c>
      <c r="K21" s="101">
        <v>0</v>
      </c>
    </row>
    <row r="22" spans="1:11" x14ac:dyDescent="0.25">
      <c r="A22" s="274"/>
      <c r="B22" s="45"/>
      <c r="C22" s="44"/>
      <c r="D22" s="98">
        <v>1.165</v>
      </c>
      <c r="E22" s="13" t="s">
        <v>29</v>
      </c>
      <c r="F22" s="40">
        <f t="shared" si="0"/>
        <v>1.165</v>
      </c>
      <c r="G22" s="45"/>
      <c r="H22" s="45"/>
      <c r="I22" s="119" t="s">
        <v>29</v>
      </c>
      <c r="J22" s="98">
        <v>1.165</v>
      </c>
      <c r="K22" s="101">
        <v>0</v>
      </c>
    </row>
    <row r="23" spans="1:11" x14ac:dyDescent="0.25">
      <c r="A23" s="274"/>
      <c r="B23" s="45"/>
      <c r="C23" s="44"/>
      <c r="D23" s="98">
        <v>2.4540000000000002</v>
      </c>
      <c r="E23" s="13" t="s">
        <v>30</v>
      </c>
      <c r="F23" s="40">
        <f t="shared" si="0"/>
        <v>2.4540000000000002</v>
      </c>
      <c r="G23" s="45"/>
      <c r="H23" s="45"/>
      <c r="I23" s="119" t="s">
        <v>30</v>
      </c>
      <c r="J23" s="98">
        <v>2.4540000000000002</v>
      </c>
      <c r="K23" s="101">
        <v>0</v>
      </c>
    </row>
    <row r="24" spans="1:11" x14ac:dyDescent="0.25">
      <c r="A24" s="274"/>
      <c r="B24" s="45"/>
      <c r="C24" s="45"/>
      <c r="D24" s="100">
        <v>0.19</v>
      </c>
      <c r="E24" s="48" t="s">
        <v>31</v>
      </c>
      <c r="F24" s="40">
        <f t="shared" si="0"/>
        <v>0.19</v>
      </c>
      <c r="G24" s="45"/>
      <c r="H24" s="45"/>
      <c r="I24" s="122" t="s">
        <v>31</v>
      </c>
      <c r="J24" s="100">
        <v>0.19</v>
      </c>
      <c r="K24" s="101">
        <v>0</v>
      </c>
    </row>
    <row r="25" spans="1:11" x14ac:dyDescent="0.25">
      <c r="A25" s="274"/>
      <c r="B25" s="45"/>
      <c r="C25" s="45"/>
      <c r="D25" s="101">
        <v>0.19</v>
      </c>
      <c r="E25" s="45" t="s">
        <v>32</v>
      </c>
      <c r="F25" s="40">
        <f t="shared" si="0"/>
        <v>0.19</v>
      </c>
      <c r="G25" s="45"/>
      <c r="H25" s="45"/>
      <c r="I25" s="123" t="s">
        <v>32</v>
      </c>
      <c r="J25" s="101">
        <v>0.19</v>
      </c>
      <c r="K25" s="101">
        <v>0</v>
      </c>
    </row>
    <row r="26" spans="1:11" ht="36" customHeight="1" x14ac:dyDescent="0.3">
      <c r="A26" s="274"/>
      <c r="B26" s="52" t="s">
        <v>33</v>
      </c>
      <c r="C26" s="45"/>
      <c r="D26" s="101">
        <v>2.2000000000000002</v>
      </c>
      <c r="E26" s="53" t="s">
        <v>34</v>
      </c>
      <c r="F26" s="40">
        <f t="shared" si="0"/>
        <v>2.2000000000000002</v>
      </c>
      <c r="G26" s="45"/>
      <c r="H26" s="53"/>
      <c r="I26" s="124" t="s">
        <v>34</v>
      </c>
      <c r="J26" s="101">
        <v>2.2000000000000002</v>
      </c>
      <c r="K26" s="101">
        <v>0</v>
      </c>
    </row>
    <row r="27" spans="1:11" ht="29.25" customHeight="1" x14ac:dyDescent="0.25">
      <c r="A27" s="274"/>
      <c r="B27" s="45"/>
      <c r="C27" s="45"/>
      <c r="D27" s="101">
        <v>2</v>
      </c>
      <c r="E27" s="53" t="s">
        <v>34</v>
      </c>
      <c r="F27" s="40">
        <f t="shared" si="0"/>
        <v>2</v>
      </c>
      <c r="G27" s="45"/>
      <c r="H27" s="45"/>
      <c r="I27" s="124" t="s">
        <v>34</v>
      </c>
      <c r="J27" s="101">
        <v>2</v>
      </c>
      <c r="K27" s="101">
        <v>0</v>
      </c>
    </row>
    <row r="28" spans="1:11" ht="46.5" customHeight="1" x14ac:dyDescent="0.25">
      <c r="A28" s="274"/>
      <c r="B28" s="45"/>
      <c r="C28" s="45"/>
      <c r="D28" s="101">
        <v>0.69499999999999995</v>
      </c>
      <c r="E28" s="55" t="s">
        <v>118</v>
      </c>
      <c r="F28" s="40">
        <f t="shared" si="0"/>
        <v>0.69499999999999995</v>
      </c>
      <c r="G28" s="45"/>
      <c r="H28" s="45"/>
      <c r="I28" s="125" t="s">
        <v>118</v>
      </c>
      <c r="J28" s="101">
        <v>0.69499999999999995</v>
      </c>
      <c r="K28" s="101">
        <v>0</v>
      </c>
    </row>
    <row r="29" spans="1:11" ht="30.75" customHeight="1" x14ac:dyDescent="0.25">
      <c r="A29" s="274"/>
      <c r="B29" s="45"/>
      <c r="C29" s="45"/>
      <c r="D29" s="101">
        <f>0.3+0.3</f>
        <v>0.6</v>
      </c>
      <c r="E29" s="55" t="s">
        <v>119</v>
      </c>
      <c r="F29" s="40">
        <f t="shared" si="0"/>
        <v>0.6</v>
      </c>
      <c r="G29" s="45"/>
      <c r="H29" s="45"/>
      <c r="I29" s="125" t="s">
        <v>35</v>
      </c>
      <c r="J29" s="101">
        <f>0.3+0.3</f>
        <v>0.6</v>
      </c>
      <c r="K29" s="101">
        <v>0</v>
      </c>
    </row>
    <row r="30" spans="1:11" x14ac:dyDescent="0.25">
      <c r="A30" s="274"/>
      <c r="B30" s="45"/>
      <c r="C30" s="45"/>
      <c r="D30" s="101">
        <f>0.14+0.14</f>
        <v>0.28000000000000003</v>
      </c>
      <c r="E30" s="45" t="s">
        <v>24</v>
      </c>
      <c r="F30" s="40">
        <f t="shared" si="0"/>
        <v>0.28000000000000003</v>
      </c>
      <c r="G30" s="45"/>
      <c r="H30" s="45"/>
      <c r="I30" s="123" t="s">
        <v>24</v>
      </c>
      <c r="J30" s="101">
        <f>0.14+0.14</f>
        <v>0.28000000000000003</v>
      </c>
      <c r="K30" s="101">
        <v>0</v>
      </c>
    </row>
    <row r="31" spans="1:11" x14ac:dyDescent="0.25">
      <c r="A31" s="274"/>
      <c r="B31" s="45"/>
      <c r="C31" s="45"/>
      <c r="D31" s="101">
        <f>1.462</f>
        <v>1.462</v>
      </c>
      <c r="E31" s="45" t="s">
        <v>36</v>
      </c>
      <c r="F31" s="40">
        <f t="shared" si="0"/>
        <v>1.462</v>
      </c>
      <c r="G31" s="45"/>
      <c r="H31" s="45"/>
      <c r="I31" s="123" t="s">
        <v>36</v>
      </c>
      <c r="J31" s="101">
        <f>1.462</f>
        <v>1.462</v>
      </c>
      <c r="K31" s="101">
        <v>0</v>
      </c>
    </row>
    <row r="32" spans="1:11" ht="15.75" customHeight="1" x14ac:dyDescent="0.25">
      <c r="A32" s="274"/>
      <c r="B32" s="45"/>
      <c r="C32" s="45"/>
      <c r="D32" s="101">
        <f>4.154*2</f>
        <v>8.3079999999999998</v>
      </c>
      <c r="E32" s="55" t="s">
        <v>37</v>
      </c>
      <c r="F32" s="40">
        <f t="shared" si="0"/>
        <v>8.3079999999999998</v>
      </c>
      <c r="G32" s="45"/>
      <c r="H32" s="45"/>
      <c r="I32" s="125" t="s">
        <v>37</v>
      </c>
      <c r="J32" s="101">
        <f>4.154*2</f>
        <v>8.3079999999999998</v>
      </c>
      <c r="K32" s="101">
        <v>0</v>
      </c>
    </row>
    <row r="33" spans="1:11" ht="55.5" customHeight="1" x14ac:dyDescent="0.25">
      <c r="A33" s="274"/>
      <c r="B33" s="45"/>
      <c r="C33" s="45"/>
      <c r="D33" s="101">
        <f>20.78</f>
        <v>20.78</v>
      </c>
      <c r="E33" s="13" t="s">
        <v>23</v>
      </c>
      <c r="F33" s="40">
        <f t="shared" si="0"/>
        <v>20.78</v>
      </c>
      <c r="G33" s="45"/>
      <c r="H33" s="45"/>
      <c r="I33" s="119" t="s">
        <v>23</v>
      </c>
      <c r="J33" s="101">
        <f>20.78</f>
        <v>20.78</v>
      </c>
      <c r="K33" s="101">
        <v>0</v>
      </c>
    </row>
    <row r="34" spans="1:11" ht="32.25" customHeight="1" x14ac:dyDescent="0.25">
      <c r="A34" s="274"/>
      <c r="B34" s="45"/>
      <c r="C34" s="45"/>
      <c r="D34" s="101">
        <v>0.6</v>
      </c>
      <c r="E34" s="13" t="s">
        <v>38</v>
      </c>
      <c r="F34" s="40">
        <f t="shared" si="0"/>
        <v>0.6</v>
      </c>
      <c r="G34" s="45"/>
      <c r="H34" s="45"/>
      <c r="I34" s="119" t="s">
        <v>38</v>
      </c>
      <c r="J34" s="101">
        <v>0.6</v>
      </c>
      <c r="K34" s="101">
        <v>0</v>
      </c>
    </row>
    <row r="35" spans="1:11" ht="13.5" customHeight="1" x14ac:dyDescent="0.25">
      <c r="A35" s="274"/>
      <c r="B35" s="45"/>
      <c r="C35" s="45"/>
      <c r="D35" s="101">
        <v>0.25</v>
      </c>
      <c r="E35" s="13" t="s">
        <v>39</v>
      </c>
      <c r="F35" s="40">
        <f t="shared" si="0"/>
        <v>0.25</v>
      </c>
      <c r="G35" s="45"/>
      <c r="H35" s="45"/>
      <c r="I35" s="119" t="s">
        <v>39</v>
      </c>
      <c r="J35" s="101">
        <v>0.25</v>
      </c>
      <c r="K35" s="101">
        <v>0</v>
      </c>
    </row>
    <row r="36" spans="1:11" ht="35.25" customHeight="1" x14ac:dyDescent="0.25">
      <c r="A36" s="274"/>
      <c r="B36" s="45"/>
      <c r="C36" s="45"/>
      <c r="D36" s="101">
        <f>0.285+0.27</f>
        <v>0.55499999999999994</v>
      </c>
      <c r="E36" s="13" t="s">
        <v>40</v>
      </c>
      <c r="F36" s="40">
        <f t="shared" si="0"/>
        <v>0.55499999999999994</v>
      </c>
      <c r="G36" s="45"/>
      <c r="H36" s="45"/>
      <c r="I36" s="119" t="s">
        <v>40</v>
      </c>
      <c r="J36" s="101">
        <f>0.285+0.27</f>
        <v>0.55499999999999994</v>
      </c>
      <c r="K36" s="101">
        <v>0</v>
      </c>
    </row>
    <row r="37" spans="1:11" ht="35.25" customHeight="1" x14ac:dyDescent="0.25">
      <c r="A37" s="274"/>
      <c r="B37" s="45"/>
      <c r="C37" s="45"/>
      <c r="D37" s="101">
        <f>0.27+0.285</f>
        <v>0.55499999999999994</v>
      </c>
      <c r="E37" s="14" t="s">
        <v>27</v>
      </c>
      <c r="F37" s="40">
        <f t="shared" si="0"/>
        <v>0.55499999999999994</v>
      </c>
      <c r="G37" s="45"/>
      <c r="H37" s="45"/>
      <c r="I37" s="121" t="s">
        <v>27</v>
      </c>
      <c r="J37" s="101">
        <f>0.27+0.285</f>
        <v>0.55499999999999994</v>
      </c>
      <c r="K37" s="101">
        <v>0</v>
      </c>
    </row>
    <row r="38" spans="1:11" x14ac:dyDescent="0.25">
      <c r="A38" s="274"/>
      <c r="B38" s="45"/>
      <c r="C38" s="45"/>
      <c r="D38" s="101">
        <v>1.1359999999999999</v>
      </c>
      <c r="E38" s="13" t="s">
        <v>41</v>
      </c>
      <c r="F38" s="40">
        <f t="shared" si="0"/>
        <v>1.1359999999999999</v>
      </c>
      <c r="G38" s="45"/>
      <c r="H38" s="45"/>
      <c r="I38" s="119" t="s">
        <v>41</v>
      </c>
      <c r="J38" s="101">
        <v>1.1359999999999999</v>
      </c>
      <c r="K38" s="101">
        <v>0</v>
      </c>
    </row>
    <row r="39" spans="1:11" ht="33" customHeight="1" x14ac:dyDescent="0.25">
      <c r="A39" s="274"/>
      <c r="B39" s="45"/>
      <c r="C39" s="45"/>
      <c r="D39" s="101">
        <v>1.28</v>
      </c>
      <c r="E39" s="13" t="s">
        <v>42</v>
      </c>
      <c r="F39" s="40">
        <f t="shared" si="0"/>
        <v>1.28</v>
      </c>
      <c r="G39" s="45"/>
      <c r="H39" s="45"/>
      <c r="I39" s="119" t="s">
        <v>42</v>
      </c>
      <c r="J39" s="101">
        <v>1.28</v>
      </c>
      <c r="K39" s="101">
        <v>0</v>
      </c>
    </row>
    <row r="40" spans="1:11" ht="31.5" customHeight="1" x14ac:dyDescent="0.25">
      <c r="A40" s="274"/>
      <c r="B40" s="45"/>
      <c r="C40" s="45"/>
      <c r="D40" s="101">
        <v>1.1399999999999999</v>
      </c>
      <c r="E40" s="13" t="s">
        <v>28</v>
      </c>
      <c r="F40" s="40">
        <f t="shared" si="0"/>
        <v>1.1399999999999999</v>
      </c>
      <c r="G40" s="45"/>
      <c r="H40" s="45"/>
      <c r="I40" s="119" t="s">
        <v>28</v>
      </c>
      <c r="J40" s="101">
        <v>1.1399999999999999</v>
      </c>
      <c r="K40" s="101">
        <v>0</v>
      </c>
    </row>
    <row r="41" spans="1:11" ht="21" customHeight="1" x14ac:dyDescent="0.25">
      <c r="A41" s="274"/>
      <c r="B41" s="45"/>
      <c r="C41" s="45"/>
      <c r="D41" s="101">
        <v>2.75</v>
      </c>
      <c r="E41" s="13" t="s">
        <v>43</v>
      </c>
      <c r="F41" s="40">
        <f t="shared" si="0"/>
        <v>2.75</v>
      </c>
      <c r="G41" s="45"/>
      <c r="H41" s="45"/>
      <c r="I41" s="119" t="s">
        <v>43</v>
      </c>
      <c r="J41" s="101">
        <v>2.75</v>
      </c>
      <c r="K41" s="101">
        <v>0</v>
      </c>
    </row>
    <row r="42" spans="1:11" ht="29.25" customHeight="1" x14ac:dyDescent="0.25">
      <c r="A42" s="274"/>
      <c r="B42" s="45"/>
      <c r="C42" s="45"/>
      <c r="D42" s="101">
        <v>2.33</v>
      </c>
      <c r="E42" s="55" t="s">
        <v>44</v>
      </c>
      <c r="F42" s="40">
        <f t="shared" si="0"/>
        <v>2.33</v>
      </c>
      <c r="G42" s="45"/>
      <c r="H42" s="45"/>
      <c r="I42" s="125" t="s">
        <v>44</v>
      </c>
      <c r="J42" s="101">
        <v>2.33</v>
      </c>
      <c r="K42" s="101">
        <v>0</v>
      </c>
    </row>
    <row r="43" spans="1:11" ht="54" customHeight="1" x14ac:dyDescent="0.3">
      <c r="A43" s="274"/>
      <c r="B43" s="52" t="s">
        <v>45</v>
      </c>
      <c r="C43" s="45"/>
      <c r="D43" s="102">
        <v>26.299499999999998</v>
      </c>
      <c r="E43" s="55" t="s">
        <v>46</v>
      </c>
      <c r="F43" s="43">
        <f t="shared" si="0"/>
        <v>26.299499999999998</v>
      </c>
      <c r="G43" s="45"/>
      <c r="H43" s="45"/>
      <c r="I43" s="125" t="s">
        <v>46</v>
      </c>
      <c r="J43" s="102">
        <v>26.299499999999998</v>
      </c>
      <c r="K43" s="126">
        <v>0</v>
      </c>
    </row>
    <row r="44" spans="1:11" ht="75" x14ac:dyDescent="0.3">
      <c r="A44" s="274"/>
      <c r="B44" s="52" t="s">
        <v>47</v>
      </c>
      <c r="C44" s="45"/>
      <c r="D44" s="101">
        <f>3.00392+2.83785+2.88258</f>
        <v>8.7243500000000012</v>
      </c>
      <c r="E44" s="55" t="s">
        <v>51</v>
      </c>
      <c r="F44" s="40">
        <f t="shared" si="0"/>
        <v>8.7243500000000012</v>
      </c>
      <c r="G44" s="45"/>
      <c r="H44" s="58"/>
      <c r="I44" s="125" t="s">
        <v>51</v>
      </c>
      <c r="J44" s="101">
        <f>3.00392+2.59432</f>
        <v>5.5982400000000005</v>
      </c>
      <c r="K44" s="101">
        <f>2.83785+0.28826</f>
        <v>3.1261100000000002</v>
      </c>
    </row>
    <row r="45" spans="1:11" x14ac:dyDescent="0.25">
      <c r="A45" s="274"/>
      <c r="B45" s="55"/>
      <c r="C45" s="45"/>
      <c r="D45" s="101">
        <v>2.4099999999999998E-3</v>
      </c>
      <c r="E45" s="55" t="s">
        <v>52</v>
      </c>
      <c r="F45" s="40">
        <f t="shared" si="0"/>
        <v>2.4099999999999998E-3</v>
      </c>
      <c r="G45" s="45"/>
      <c r="H45" s="58"/>
      <c r="I45" s="125" t="s">
        <v>52</v>
      </c>
      <c r="J45" s="101">
        <v>0</v>
      </c>
      <c r="K45" s="101">
        <v>2.4099999999999998E-3</v>
      </c>
    </row>
    <row r="46" spans="1:11" x14ac:dyDescent="0.25">
      <c r="A46" s="274"/>
      <c r="B46" s="55"/>
      <c r="C46" s="45"/>
      <c r="D46" s="101">
        <v>3.739E-2</v>
      </c>
      <c r="E46" s="55" t="s">
        <v>53</v>
      </c>
      <c r="F46" s="40">
        <f t="shared" si="0"/>
        <v>3.739E-2</v>
      </c>
      <c r="G46" s="45"/>
      <c r="H46" s="58"/>
      <c r="I46" s="125" t="s">
        <v>53</v>
      </c>
      <c r="J46" s="101">
        <f>0.03552</f>
        <v>3.5520000000000003E-2</v>
      </c>
      <c r="K46" s="101">
        <f>0.00187</f>
        <v>1.8699999999999999E-3</v>
      </c>
    </row>
    <row r="47" spans="1:11" ht="17.25" customHeight="1" x14ac:dyDescent="0.25">
      <c r="A47" s="274"/>
      <c r="B47" s="55"/>
      <c r="C47" s="45"/>
      <c r="D47" s="103">
        <v>1.917E-2</v>
      </c>
      <c r="E47" s="55" t="s">
        <v>107</v>
      </c>
      <c r="F47" s="40">
        <f t="shared" si="0"/>
        <v>1.917E-2</v>
      </c>
      <c r="G47" s="45"/>
      <c r="H47" s="58"/>
      <c r="I47" s="125" t="s">
        <v>107</v>
      </c>
      <c r="J47" s="103">
        <v>1.917E-2</v>
      </c>
      <c r="K47" s="101">
        <v>0</v>
      </c>
    </row>
    <row r="48" spans="1:11" ht="15.75" x14ac:dyDescent="0.25">
      <c r="A48" s="274"/>
      <c r="B48" s="55"/>
      <c r="C48" s="45"/>
      <c r="D48" s="103">
        <v>5.1700000000000003E-2</v>
      </c>
      <c r="E48" s="55" t="s">
        <v>54</v>
      </c>
      <c r="F48" s="40">
        <f t="shared" si="0"/>
        <v>5.1700000000000003E-2</v>
      </c>
      <c r="G48" s="45"/>
      <c r="H48" s="58"/>
      <c r="I48" s="125" t="s">
        <v>54</v>
      </c>
      <c r="J48" s="103">
        <v>5.1700000000000003E-2</v>
      </c>
      <c r="K48" s="101">
        <v>0</v>
      </c>
    </row>
    <row r="49" spans="1:11" ht="17.25" customHeight="1" x14ac:dyDescent="0.25">
      <c r="A49" s="274"/>
      <c r="B49" s="55"/>
      <c r="C49" s="45"/>
      <c r="D49" s="103">
        <f>0.24516+0.26711+0.24289</f>
        <v>0.75516000000000005</v>
      </c>
      <c r="E49" s="55" t="s">
        <v>55</v>
      </c>
      <c r="F49" s="40">
        <f t="shared" si="0"/>
        <v>0.75516000000000005</v>
      </c>
      <c r="G49" s="45"/>
      <c r="H49" s="58"/>
      <c r="I49" s="125" t="s">
        <v>55</v>
      </c>
      <c r="J49" s="101">
        <f>0.24516+0.26711+0.12145</f>
        <v>0.63372000000000006</v>
      </c>
      <c r="K49" s="101">
        <f>0.12144</f>
        <v>0.12144000000000001</v>
      </c>
    </row>
    <row r="50" spans="1:11" ht="15.75" x14ac:dyDescent="0.25">
      <c r="A50" s="274"/>
      <c r="B50" s="55"/>
      <c r="C50" s="45"/>
      <c r="D50" s="103">
        <f>0.8294</f>
        <v>0.82940000000000003</v>
      </c>
      <c r="E50" s="55" t="s">
        <v>56</v>
      </c>
      <c r="F50" s="40">
        <f t="shared" si="0"/>
        <v>0.82940000000000003</v>
      </c>
      <c r="G50" s="45"/>
      <c r="H50" s="58"/>
      <c r="I50" s="125" t="s">
        <v>56</v>
      </c>
      <c r="J50" s="101">
        <f>0.26158</f>
        <v>0.26157999999999998</v>
      </c>
      <c r="K50" s="101">
        <f>0.56782</f>
        <v>0.56781999999999999</v>
      </c>
    </row>
    <row r="51" spans="1:11" ht="17.25" customHeight="1" x14ac:dyDescent="0.25">
      <c r="A51" s="274"/>
      <c r="B51" s="55"/>
      <c r="C51" s="45"/>
      <c r="D51" s="103">
        <f>0.68266+0.62616+1.87853</f>
        <v>3.1873500000000003</v>
      </c>
      <c r="E51" s="55" t="s">
        <v>57</v>
      </c>
      <c r="F51" s="40">
        <f t="shared" si="0"/>
        <v>3.1873500000000003</v>
      </c>
      <c r="G51" s="45"/>
      <c r="H51" s="58"/>
      <c r="I51" s="125" t="s">
        <v>57</v>
      </c>
      <c r="J51" s="101">
        <f>0.68266+0.62616+0.06262</f>
        <v>1.37144</v>
      </c>
      <c r="K51" s="101">
        <v>1.8159099999999999</v>
      </c>
    </row>
    <row r="52" spans="1:11" ht="15.75" x14ac:dyDescent="0.25">
      <c r="A52" s="274"/>
      <c r="B52" s="55"/>
      <c r="C52" s="45"/>
      <c r="D52" s="103">
        <v>0.51400000000000001</v>
      </c>
      <c r="E52" s="55" t="s">
        <v>108</v>
      </c>
      <c r="F52" s="40">
        <f t="shared" si="0"/>
        <v>0.51400000000000001</v>
      </c>
      <c r="G52" s="45"/>
      <c r="H52" s="58"/>
      <c r="I52" s="125" t="s">
        <v>108</v>
      </c>
      <c r="J52" s="101">
        <f>0.257</f>
        <v>0.25700000000000001</v>
      </c>
      <c r="K52" s="101">
        <f>0.257</f>
        <v>0.25700000000000001</v>
      </c>
    </row>
    <row r="53" spans="1:11" ht="13.5" customHeight="1" x14ac:dyDescent="0.25">
      <c r="A53" s="274"/>
      <c r="B53" s="55"/>
      <c r="C53" s="45"/>
      <c r="D53" s="103">
        <v>1.3168500000000001</v>
      </c>
      <c r="E53" s="55" t="s">
        <v>58</v>
      </c>
      <c r="F53" s="40">
        <f t="shared" si="0"/>
        <v>1.3168500000000001</v>
      </c>
      <c r="G53" s="45"/>
      <c r="H53" s="58"/>
      <c r="I53" s="125" t="s">
        <v>58</v>
      </c>
      <c r="J53" s="101">
        <v>0</v>
      </c>
      <c r="K53" s="103">
        <v>1.3168500000000001</v>
      </c>
    </row>
    <row r="54" spans="1:11" ht="16.5" customHeight="1" x14ac:dyDescent="0.25">
      <c r="A54" s="274"/>
      <c r="B54" s="55"/>
      <c r="C54" s="45"/>
      <c r="D54" s="101">
        <v>0.88980000000000004</v>
      </c>
      <c r="E54" s="55" t="s">
        <v>59</v>
      </c>
      <c r="F54" s="40">
        <f t="shared" si="0"/>
        <v>0.88980000000000004</v>
      </c>
      <c r="G54" s="45"/>
      <c r="H54" s="58"/>
      <c r="I54" s="125" t="s">
        <v>59</v>
      </c>
      <c r="J54" s="101">
        <v>5.9319999999999998E-2</v>
      </c>
      <c r="K54" s="101">
        <f>0.83048</f>
        <v>0.83048</v>
      </c>
    </row>
    <row r="55" spans="1:11" ht="14.25" customHeight="1" x14ac:dyDescent="0.25">
      <c r="A55" s="274"/>
      <c r="B55" s="55"/>
      <c r="C55" s="45"/>
      <c r="D55" s="103">
        <f>0.11771+0.0749</f>
        <v>0.19261</v>
      </c>
      <c r="E55" s="55" t="s">
        <v>109</v>
      </c>
      <c r="F55" s="40">
        <f t="shared" si="0"/>
        <v>0.19261</v>
      </c>
      <c r="G55" s="45"/>
      <c r="H55" s="58"/>
      <c r="I55" s="125" t="s">
        <v>109</v>
      </c>
      <c r="J55" s="103">
        <f>0.11771+0.0749</f>
        <v>0.19261</v>
      </c>
      <c r="K55" s="101">
        <v>0</v>
      </c>
    </row>
    <row r="56" spans="1:11" ht="15" customHeight="1" x14ac:dyDescent="0.25">
      <c r="A56" s="274"/>
      <c r="B56" s="55"/>
      <c r="C56" s="45"/>
      <c r="D56" s="103">
        <f>0.0737+0.07486+0.98986+0.03296</f>
        <v>1.1713800000000001</v>
      </c>
      <c r="E56" s="55" t="s">
        <v>60</v>
      </c>
      <c r="F56" s="40">
        <f t="shared" si="0"/>
        <v>1.1713800000000001</v>
      </c>
      <c r="G56" s="45"/>
      <c r="H56" s="58"/>
      <c r="I56" s="125" t="s">
        <v>60</v>
      </c>
      <c r="J56" s="101">
        <f>2.1018+0.01483-1.73853</f>
        <v>0.37809999999999988</v>
      </c>
      <c r="K56" s="101">
        <f>0.77515+0.01813</f>
        <v>0.79327999999999999</v>
      </c>
    </row>
    <row r="57" spans="1:11" ht="14.25" customHeight="1" x14ac:dyDescent="0.25">
      <c r="A57" s="274"/>
      <c r="B57" s="55"/>
      <c r="C57" s="45"/>
      <c r="D57" s="103">
        <f>0.02842</f>
        <v>2.8420000000000001E-2</v>
      </c>
      <c r="E57" s="55" t="s">
        <v>61</v>
      </c>
      <c r="F57" s="40">
        <f t="shared" si="0"/>
        <v>2.8420000000000001E-2</v>
      </c>
      <c r="G57" s="45"/>
      <c r="H57" s="58"/>
      <c r="I57" s="125" t="s">
        <v>61</v>
      </c>
      <c r="J57" s="101">
        <f>0.01421</f>
        <v>1.421E-2</v>
      </c>
      <c r="K57" s="101">
        <f>0.01421</f>
        <v>1.421E-2</v>
      </c>
    </row>
    <row r="58" spans="1:11" ht="14.25" customHeight="1" x14ac:dyDescent="0.25">
      <c r="A58" s="274"/>
      <c r="B58" s="55"/>
      <c r="C58" s="45"/>
      <c r="D58" s="103">
        <f>0.01864</f>
        <v>1.864E-2</v>
      </c>
      <c r="E58" s="55" t="s">
        <v>62</v>
      </c>
      <c r="F58" s="40">
        <f t="shared" si="0"/>
        <v>1.864E-2</v>
      </c>
      <c r="G58" s="45"/>
      <c r="H58" s="58"/>
      <c r="I58" s="125" t="s">
        <v>62</v>
      </c>
      <c r="J58" s="103">
        <f>0.01864</f>
        <v>1.864E-2</v>
      </c>
      <c r="K58" s="101">
        <v>0</v>
      </c>
    </row>
    <row r="59" spans="1:11" ht="15.75" x14ac:dyDescent="0.25">
      <c r="A59" s="274"/>
      <c r="B59" s="55"/>
      <c r="C59" s="45"/>
      <c r="D59" s="103">
        <v>0.34721000000000002</v>
      </c>
      <c r="E59" s="55" t="s">
        <v>63</v>
      </c>
      <c r="F59" s="40">
        <f t="shared" si="0"/>
        <v>0.34721000000000002</v>
      </c>
      <c r="G59" s="45"/>
      <c r="H59" s="58"/>
      <c r="I59" s="125" t="s">
        <v>63</v>
      </c>
      <c r="J59" s="103">
        <v>0.34721000000000002</v>
      </c>
      <c r="K59" s="101">
        <v>0</v>
      </c>
    </row>
    <row r="60" spans="1:11" ht="15.75" customHeight="1" x14ac:dyDescent="0.25">
      <c r="A60" s="274"/>
      <c r="B60" s="55"/>
      <c r="C60" s="45"/>
      <c r="D60" s="103">
        <f>0.07881+0.47283</f>
        <v>0.55164000000000002</v>
      </c>
      <c r="E60" s="55" t="s">
        <v>64</v>
      </c>
      <c r="F60" s="40">
        <f t="shared" si="0"/>
        <v>0.55164000000000002</v>
      </c>
      <c r="G60" s="45"/>
      <c r="H60" s="58"/>
      <c r="I60" s="125" t="s">
        <v>64</v>
      </c>
      <c r="J60" s="101">
        <f>0.51223</f>
        <v>0.51222999999999996</v>
      </c>
      <c r="K60" s="101">
        <v>3.9410000000000001E-2</v>
      </c>
    </row>
    <row r="61" spans="1:11" ht="13.5" customHeight="1" x14ac:dyDescent="0.25">
      <c r="A61" s="274"/>
      <c r="B61" s="55"/>
      <c r="C61" s="45"/>
      <c r="D61" s="103">
        <v>0.35499999999999998</v>
      </c>
      <c r="E61" s="55" t="s">
        <v>65</v>
      </c>
      <c r="F61" s="40">
        <f t="shared" si="0"/>
        <v>0.35499999999999998</v>
      </c>
      <c r="G61" s="45"/>
      <c r="H61" s="58"/>
      <c r="I61" s="125" t="s">
        <v>65</v>
      </c>
      <c r="J61" s="101">
        <v>0</v>
      </c>
      <c r="K61" s="103">
        <v>0.35499999999999998</v>
      </c>
    </row>
    <row r="62" spans="1:11" ht="15.75" x14ac:dyDescent="0.25">
      <c r="A62" s="274"/>
      <c r="B62" s="55"/>
      <c r="C62" s="45"/>
      <c r="D62" s="103">
        <f>0.20965</f>
        <v>0.20965</v>
      </c>
      <c r="E62" s="55" t="s">
        <v>66</v>
      </c>
      <c r="F62" s="40">
        <f t="shared" si="0"/>
        <v>0.20965</v>
      </c>
      <c r="G62" s="45"/>
      <c r="H62" s="58"/>
      <c r="I62" s="125" t="s">
        <v>66</v>
      </c>
      <c r="J62" s="101">
        <v>0</v>
      </c>
      <c r="K62" s="103">
        <f>0.20965</f>
        <v>0.20965</v>
      </c>
    </row>
    <row r="63" spans="1:11" ht="13.5" customHeight="1" x14ac:dyDescent="0.25">
      <c r="A63" s="274"/>
      <c r="B63" s="55"/>
      <c r="C63" s="45"/>
      <c r="D63" s="103">
        <f>0.20143</f>
        <v>0.20143</v>
      </c>
      <c r="E63" s="55" t="s">
        <v>67</v>
      </c>
      <c r="F63" s="40">
        <f t="shared" si="0"/>
        <v>0.20143</v>
      </c>
      <c r="G63" s="45"/>
      <c r="H63" s="58"/>
      <c r="I63" s="125" t="s">
        <v>67</v>
      </c>
      <c r="J63" s="103">
        <v>0</v>
      </c>
      <c r="K63" s="103">
        <f>0.20143</f>
        <v>0.20143</v>
      </c>
    </row>
    <row r="64" spans="1:11" ht="15.75" customHeight="1" x14ac:dyDescent="0.25">
      <c r="A64" s="274"/>
      <c r="B64" s="55"/>
      <c r="C64" s="45"/>
      <c r="D64" s="103">
        <f>1.2835</f>
        <v>1.2835000000000001</v>
      </c>
      <c r="E64" s="55" t="s">
        <v>68</v>
      </c>
      <c r="F64" s="40">
        <f t="shared" si="0"/>
        <v>1.2835000000000001</v>
      </c>
      <c r="G64" s="45"/>
      <c r="H64" s="58"/>
      <c r="I64" s="125" t="s">
        <v>68</v>
      </c>
      <c r="J64" s="101">
        <f>0.64175</f>
        <v>0.64175000000000004</v>
      </c>
      <c r="K64" s="101">
        <f>0.64175</f>
        <v>0.64175000000000004</v>
      </c>
    </row>
    <row r="65" spans="1:11" ht="16.5" customHeight="1" x14ac:dyDescent="0.25">
      <c r="A65" s="274"/>
      <c r="B65" s="55"/>
      <c r="C65" s="45"/>
      <c r="D65" s="103">
        <f>0.59265+0.01943+0.19319</f>
        <v>0.80526999999999993</v>
      </c>
      <c r="E65" s="55" t="s">
        <v>69</v>
      </c>
      <c r="F65" s="40">
        <f t="shared" si="0"/>
        <v>0.80526999999999993</v>
      </c>
      <c r="G65" s="45"/>
      <c r="H65" s="58"/>
      <c r="I65" s="125" t="s">
        <v>69</v>
      </c>
      <c r="J65" s="101">
        <f>0.42736</f>
        <v>0.42736000000000002</v>
      </c>
      <c r="K65" s="101">
        <f>0.37791</f>
        <v>0.37791000000000002</v>
      </c>
    </row>
    <row r="66" spans="1:11" ht="15.75" x14ac:dyDescent="0.25">
      <c r="A66" s="274"/>
      <c r="B66" s="55"/>
      <c r="C66" s="45"/>
      <c r="D66" s="103">
        <f>0.15089+0.294</f>
        <v>0.44489000000000001</v>
      </c>
      <c r="E66" s="55" t="s">
        <v>70</v>
      </c>
      <c r="F66" s="40">
        <f t="shared" si="0"/>
        <v>0.44489000000000001</v>
      </c>
      <c r="G66" s="45"/>
      <c r="H66" s="58"/>
      <c r="I66" s="125" t="s">
        <v>70</v>
      </c>
      <c r="J66" s="101">
        <f>0.33737</f>
        <v>0.33737</v>
      </c>
      <c r="K66" s="101">
        <f>0.10752</f>
        <v>0.10752</v>
      </c>
    </row>
    <row r="67" spans="1:11" ht="17.25" customHeight="1" x14ac:dyDescent="0.25">
      <c r="A67" s="274"/>
      <c r="B67" s="55"/>
      <c r="C67" s="45"/>
      <c r="D67" s="103">
        <f>0.24717</f>
        <v>0.24717</v>
      </c>
      <c r="E67" s="55" t="s">
        <v>71</v>
      </c>
      <c r="F67" s="40">
        <f t="shared" si="0"/>
        <v>0.24717</v>
      </c>
      <c r="G67" s="45"/>
      <c r="H67" s="58"/>
      <c r="I67" s="125" t="s">
        <v>71</v>
      </c>
      <c r="J67" s="101">
        <v>0</v>
      </c>
      <c r="K67" s="103">
        <f>0.24717</f>
        <v>0.24717</v>
      </c>
    </row>
    <row r="68" spans="1:11" ht="30.75" customHeight="1" x14ac:dyDescent="0.25">
      <c r="A68" s="274"/>
      <c r="B68" s="55"/>
      <c r="C68" s="45"/>
      <c r="D68" s="103">
        <f>0.32502</f>
        <v>0.32501999999999998</v>
      </c>
      <c r="E68" s="55" t="s">
        <v>120</v>
      </c>
      <c r="F68" s="40">
        <f t="shared" si="0"/>
        <v>0.32501999999999998</v>
      </c>
      <c r="G68" s="45"/>
      <c r="H68" s="58"/>
      <c r="I68" s="125" t="s">
        <v>120</v>
      </c>
      <c r="J68" s="101">
        <v>0</v>
      </c>
      <c r="K68" s="103">
        <f>0.32502</f>
        <v>0.32501999999999998</v>
      </c>
    </row>
    <row r="69" spans="1:11" ht="19.5" customHeight="1" x14ac:dyDescent="0.25">
      <c r="A69" s="274"/>
      <c r="B69" s="55"/>
      <c r="C69" s="45"/>
      <c r="D69" s="103">
        <f>4.2372</f>
        <v>4.2371999999999996</v>
      </c>
      <c r="E69" s="55" t="s">
        <v>72</v>
      </c>
      <c r="F69" s="40">
        <f t="shared" si="0"/>
        <v>4.2371999999999996</v>
      </c>
      <c r="G69" s="45"/>
      <c r="H69" s="58"/>
      <c r="I69" s="125" t="s">
        <v>72</v>
      </c>
      <c r="J69" s="101">
        <v>3.5310000000000001</v>
      </c>
      <c r="K69" s="101">
        <v>0.70620000000000005</v>
      </c>
    </row>
    <row r="70" spans="1:11" ht="16.5" customHeight="1" x14ac:dyDescent="0.25">
      <c r="A70" s="274"/>
      <c r="B70" s="55"/>
      <c r="C70" s="45"/>
      <c r="D70" s="101">
        <f>0.05484+0.1939</f>
        <v>0.24873999999999999</v>
      </c>
      <c r="E70" s="55" t="s">
        <v>73</v>
      </c>
      <c r="F70" s="40">
        <f t="shared" si="0"/>
        <v>0.24873999999999999</v>
      </c>
      <c r="G70" s="45"/>
      <c r="H70" s="58"/>
      <c r="I70" s="125" t="s">
        <v>73</v>
      </c>
      <c r="J70" s="101">
        <v>0.11748</v>
      </c>
      <c r="K70" s="101">
        <v>0.13125999999999999</v>
      </c>
    </row>
    <row r="71" spans="1:11" ht="12.75" customHeight="1" x14ac:dyDescent="0.25">
      <c r="A71" s="274"/>
      <c r="B71" s="55"/>
      <c r="C71" s="45"/>
      <c r="D71" s="103">
        <f>0.01744</f>
        <v>1.7440000000000001E-2</v>
      </c>
      <c r="E71" s="55" t="s">
        <v>74</v>
      </c>
      <c r="F71" s="40">
        <f t="shared" si="0"/>
        <v>1.7440000000000001E-2</v>
      </c>
      <c r="G71" s="45"/>
      <c r="H71" s="58"/>
      <c r="I71" s="125" t="s">
        <v>74</v>
      </c>
      <c r="J71" s="103">
        <f>0.01744</f>
        <v>1.7440000000000001E-2</v>
      </c>
      <c r="K71" s="101">
        <v>0</v>
      </c>
    </row>
    <row r="72" spans="1:11" ht="13.5" customHeight="1" x14ac:dyDescent="0.25">
      <c r="A72" s="274"/>
      <c r="B72" s="55"/>
      <c r="C72" s="45"/>
      <c r="D72" s="103">
        <v>0.27403</v>
      </c>
      <c r="E72" s="55" t="s">
        <v>75</v>
      </c>
      <c r="F72" s="40">
        <f t="shared" si="0"/>
        <v>0.27403</v>
      </c>
      <c r="G72" s="45"/>
      <c r="H72" s="58"/>
      <c r="I72" s="125" t="s">
        <v>75</v>
      </c>
      <c r="J72" s="101">
        <v>0</v>
      </c>
      <c r="K72" s="103">
        <v>0.27403</v>
      </c>
    </row>
    <row r="73" spans="1:11" ht="14.25" customHeight="1" x14ac:dyDescent="0.25">
      <c r="A73" s="274"/>
      <c r="B73" s="55"/>
      <c r="C73" s="45"/>
      <c r="D73" s="103">
        <f>0.11689+0.23377+0.99645+0.24156</f>
        <v>1.5886699999999998</v>
      </c>
      <c r="E73" s="55" t="s">
        <v>76</v>
      </c>
      <c r="F73" s="40">
        <f t="shared" si="0"/>
        <v>1.5886699999999998</v>
      </c>
      <c r="G73" s="45"/>
      <c r="H73" s="58"/>
      <c r="I73" s="125" t="s">
        <v>76</v>
      </c>
      <c r="J73" s="101">
        <v>0.97269000000000005</v>
      </c>
      <c r="K73" s="101">
        <v>0.61597999999999997</v>
      </c>
    </row>
    <row r="74" spans="1:11" ht="16.5" customHeight="1" x14ac:dyDescent="0.25">
      <c r="A74" s="274"/>
      <c r="B74" s="55"/>
      <c r="C74" s="45"/>
      <c r="D74" s="103">
        <v>3.8603499999999999</v>
      </c>
      <c r="E74" s="55" t="s">
        <v>77</v>
      </c>
      <c r="F74" s="40">
        <f t="shared" si="0"/>
        <v>3.8603499999999999</v>
      </c>
      <c r="G74" s="45"/>
      <c r="H74" s="58"/>
      <c r="I74" s="125" t="s">
        <v>77</v>
      </c>
      <c r="J74" s="101">
        <f>2.1232</f>
        <v>2.1232000000000002</v>
      </c>
      <c r="K74" s="101">
        <v>1.73715</v>
      </c>
    </row>
    <row r="75" spans="1:11" ht="15.75" customHeight="1" x14ac:dyDescent="0.25">
      <c r="A75" s="274"/>
      <c r="B75" s="55"/>
      <c r="C75" s="45"/>
      <c r="D75" s="103">
        <f>0.2048</f>
        <v>0.20480000000000001</v>
      </c>
      <c r="E75" s="55" t="s">
        <v>78</v>
      </c>
      <c r="F75" s="40">
        <f t="shared" si="0"/>
        <v>0.20480000000000001</v>
      </c>
      <c r="G75" s="45"/>
      <c r="H75" s="58"/>
      <c r="I75" s="125" t="s">
        <v>78</v>
      </c>
      <c r="J75" s="103">
        <f>0.2048</f>
        <v>0.20480000000000001</v>
      </c>
      <c r="K75" s="101">
        <v>0</v>
      </c>
    </row>
    <row r="76" spans="1:11" ht="13.5" customHeight="1" x14ac:dyDescent="0.25">
      <c r="A76" s="274"/>
      <c r="B76" s="55"/>
      <c r="C76" s="45"/>
      <c r="D76" s="103">
        <f>0.4806</f>
        <v>0.48060000000000003</v>
      </c>
      <c r="E76" s="55" t="s">
        <v>79</v>
      </c>
      <c r="F76" s="40">
        <f t="shared" si="0"/>
        <v>0.48060000000000003</v>
      </c>
      <c r="G76" s="45"/>
      <c r="H76" s="58"/>
      <c r="I76" s="125" t="s">
        <v>79</v>
      </c>
      <c r="J76" s="103">
        <f>0.4806</f>
        <v>0.48060000000000003</v>
      </c>
      <c r="K76" s="101">
        <v>0</v>
      </c>
    </row>
    <row r="77" spans="1:11" ht="17.25" customHeight="1" x14ac:dyDescent="0.25">
      <c r="A77" s="274"/>
      <c r="B77" s="55"/>
      <c r="C77" s="45"/>
      <c r="D77" s="103">
        <f>0.19456</f>
        <v>0.19456000000000001</v>
      </c>
      <c r="E77" s="55" t="s">
        <v>121</v>
      </c>
      <c r="F77" s="40">
        <f t="shared" si="0"/>
        <v>0.19456000000000001</v>
      </c>
      <c r="G77" s="45"/>
      <c r="H77" s="58"/>
      <c r="I77" s="125" t="s">
        <v>121</v>
      </c>
      <c r="J77" s="101">
        <f>0.14268</f>
        <v>0.14268</v>
      </c>
      <c r="K77" s="101">
        <v>5.1880000000000003E-2</v>
      </c>
    </row>
    <row r="78" spans="1:11" ht="16.5" customHeight="1" x14ac:dyDescent="0.25">
      <c r="A78" s="274"/>
      <c r="B78" s="55"/>
      <c r="C78" s="45"/>
      <c r="D78" s="103">
        <f>0.2722</f>
        <v>0.2722</v>
      </c>
      <c r="E78" s="55" t="s">
        <v>80</v>
      </c>
      <c r="F78" s="40">
        <f t="shared" ref="F78:F113" si="1">D78</f>
        <v>0.2722</v>
      </c>
      <c r="G78" s="45"/>
      <c r="H78" s="58"/>
      <c r="I78" s="125" t="s">
        <v>80</v>
      </c>
      <c r="J78" s="101">
        <v>0</v>
      </c>
      <c r="K78" s="103">
        <f>0.2722</f>
        <v>0.2722</v>
      </c>
    </row>
    <row r="79" spans="1:11" ht="12.75" customHeight="1" x14ac:dyDescent="0.25">
      <c r="A79" s="274"/>
      <c r="B79" s="55"/>
      <c r="C79" s="45"/>
      <c r="D79" s="103">
        <f>0.33545+0.10563</f>
        <v>0.44108000000000003</v>
      </c>
      <c r="E79" s="55" t="s">
        <v>81</v>
      </c>
      <c r="F79" s="40">
        <f t="shared" si="1"/>
        <v>0.44108000000000003</v>
      </c>
      <c r="G79" s="45"/>
      <c r="H79" s="58"/>
      <c r="I79" s="125" t="s">
        <v>81</v>
      </c>
      <c r="J79" s="101">
        <v>9.2480000000000007E-2</v>
      </c>
      <c r="K79" s="101">
        <v>0.34860000000000002</v>
      </c>
    </row>
    <row r="80" spans="1:11" ht="14.25" customHeight="1" x14ac:dyDescent="0.25">
      <c r="A80" s="274"/>
      <c r="B80" s="55"/>
      <c r="C80" s="45"/>
      <c r="D80" s="103">
        <f>0.1548+0.6776</f>
        <v>0.83240000000000003</v>
      </c>
      <c r="E80" s="55" t="s">
        <v>82</v>
      </c>
      <c r="F80" s="40">
        <f t="shared" si="1"/>
        <v>0.83240000000000003</v>
      </c>
      <c r="G80" s="45"/>
      <c r="H80" s="58"/>
      <c r="I80" s="125" t="s">
        <v>82</v>
      </c>
      <c r="J80" s="101">
        <f>0.1694</f>
        <v>0.1694</v>
      </c>
      <c r="K80" s="101">
        <f>0.663</f>
        <v>0.66300000000000003</v>
      </c>
    </row>
    <row r="81" spans="1:11" ht="14.25" customHeight="1" x14ac:dyDescent="0.25">
      <c r="A81" s="274"/>
      <c r="B81" s="55"/>
      <c r="C81" s="45"/>
      <c r="D81" s="103">
        <v>2.2499999999999999E-2</v>
      </c>
      <c r="E81" s="55" t="s">
        <v>83</v>
      </c>
      <c r="F81" s="40">
        <f t="shared" si="1"/>
        <v>2.2499999999999999E-2</v>
      </c>
      <c r="G81" s="45"/>
      <c r="H81" s="58"/>
      <c r="I81" s="125" t="s">
        <v>83</v>
      </c>
      <c r="J81" s="101">
        <v>0</v>
      </c>
      <c r="K81" s="103">
        <v>2.2499999999999999E-2</v>
      </c>
    </row>
    <row r="82" spans="1:11" ht="12.75" customHeight="1" x14ac:dyDescent="0.25">
      <c r="A82" s="274"/>
      <c r="B82" s="55"/>
      <c r="C82" s="45"/>
      <c r="D82" s="103">
        <v>2.2499999999999999E-2</v>
      </c>
      <c r="E82" s="55" t="s">
        <v>84</v>
      </c>
      <c r="F82" s="40">
        <f t="shared" si="1"/>
        <v>2.2499999999999999E-2</v>
      </c>
      <c r="G82" s="45"/>
      <c r="H82" s="58"/>
      <c r="I82" s="125" t="s">
        <v>84</v>
      </c>
      <c r="J82" s="101">
        <v>1.125E-2</v>
      </c>
      <c r="K82" s="101">
        <v>1.125E-2</v>
      </c>
    </row>
    <row r="83" spans="1:11" ht="12.75" customHeight="1" x14ac:dyDescent="0.25">
      <c r="A83" s="274"/>
      <c r="B83" s="55"/>
      <c r="C83" s="45"/>
      <c r="D83" s="101">
        <f>0.0225</f>
        <v>2.2499999999999999E-2</v>
      </c>
      <c r="E83" s="55" t="s">
        <v>85</v>
      </c>
      <c r="F83" s="40">
        <f t="shared" si="1"/>
        <v>2.2499999999999999E-2</v>
      </c>
      <c r="G83" s="45"/>
      <c r="H83" s="58"/>
      <c r="I83" s="125" t="s">
        <v>85</v>
      </c>
      <c r="J83" s="101">
        <v>0</v>
      </c>
      <c r="K83" s="101">
        <f>0.0225</f>
        <v>2.2499999999999999E-2</v>
      </c>
    </row>
    <row r="84" spans="1:11" ht="27" customHeight="1" x14ac:dyDescent="0.25">
      <c r="A84" s="274"/>
      <c r="B84" s="55"/>
      <c r="C84" s="45"/>
      <c r="D84" s="103">
        <f>0.6915</f>
        <v>0.6915</v>
      </c>
      <c r="E84" s="55" t="s">
        <v>122</v>
      </c>
      <c r="F84" s="40">
        <f t="shared" si="1"/>
        <v>0.6915</v>
      </c>
      <c r="G84" s="45"/>
      <c r="H84" s="58"/>
      <c r="I84" s="125" t="s">
        <v>86</v>
      </c>
      <c r="J84" s="101">
        <v>0</v>
      </c>
      <c r="K84" s="103">
        <f>0.6915</f>
        <v>0.6915</v>
      </c>
    </row>
    <row r="85" spans="1:11" ht="16.5" customHeight="1" x14ac:dyDescent="0.25">
      <c r="A85" s="274"/>
      <c r="B85" s="55"/>
      <c r="C85" s="45"/>
      <c r="D85" s="103">
        <f>5.44095+2.81538+7.37979</f>
        <v>15.63612</v>
      </c>
      <c r="E85" s="55" t="s">
        <v>87</v>
      </c>
      <c r="F85" s="40">
        <f t="shared" si="1"/>
        <v>15.63612</v>
      </c>
      <c r="G85" s="45"/>
      <c r="H85" s="58"/>
      <c r="I85" s="125" t="s">
        <v>87</v>
      </c>
      <c r="J85" s="101">
        <v>11.829700000000001</v>
      </c>
      <c r="K85" s="101">
        <f>3.80642</f>
        <v>3.8064200000000001</v>
      </c>
    </row>
    <row r="86" spans="1:11" ht="29.25" customHeight="1" x14ac:dyDescent="0.25">
      <c r="A86" s="274"/>
      <c r="B86" s="55"/>
      <c r="C86" s="45"/>
      <c r="D86" s="103">
        <v>0.11871</v>
      </c>
      <c r="E86" s="55" t="s">
        <v>88</v>
      </c>
      <c r="F86" s="40">
        <f t="shared" si="1"/>
        <v>0.11871</v>
      </c>
      <c r="G86" s="45"/>
      <c r="H86" s="58"/>
      <c r="I86" s="125" t="s">
        <v>88</v>
      </c>
      <c r="J86" s="101">
        <v>0</v>
      </c>
      <c r="K86" s="103">
        <v>0.11871</v>
      </c>
    </row>
    <row r="87" spans="1:11" ht="13.5" customHeight="1" x14ac:dyDescent="0.25">
      <c r="A87" s="274"/>
      <c r="B87" s="55"/>
      <c r="C87" s="45"/>
      <c r="D87" s="103">
        <v>3.8841000000000001</v>
      </c>
      <c r="E87" s="55" t="s">
        <v>89</v>
      </c>
      <c r="F87" s="40">
        <f t="shared" si="1"/>
        <v>3.8841000000000001</v>
      </c>
      <c r="G87" s="45"/>
      <c r="H87" s="58"/>
      <c r="I87" s="125" t="s">
        <v>89</v>
      </c>
      <c r="J87" s="101">
        <f>3.48275</f>
        <v>3.4827499999999998</v>
      </c>
      <c r="K87" s="101">
        <f>0.40135</f>
        <v>0.40134999999999998</v>
      </c>
    </row>
    <row r="88" spans="1:11" ht="18" customHeight="1" x14ac:dyDescent="0.25">
      <c r="A88" s="274"/>
      <c r="B88" s="55"/>
      <c r="C88" s="45"/>
      <c r="D88" s="103">
        <v>4.298</v>
      </c>
      <c r="E88" s="55" t="s">
        <v>123</v>
      </c>
      <c r="F88" s="40">
        <f t="shared" si="1"/>
        <v>4.298</v>
      </c>
      <c r="G88" s="45"/>
      <c r="H88" s="58"/>
      <c r="I88" s="125" t="s">
        <v>123</v>
      </c>
      <c r="J88" s="101">
        <v>1.5349999999999999</v>
      </c>
      <c r="K88" s="101">
        <v>2.7629999999999999</v>
      </c>
    </row>
    <row r="89" spans="1:11" ht="15.75" customHeight="1" x14ac:dyDescent="0.25">
      <c r="A89" s="274"/>
      <c r="B89" s="55"/>
      <c r="C89" s="45"/>
      <c r="D89" s="103">
        <f>3.377</f>
        <v>3.3769999999999998</v>
      </c>
      <c r="E89" s="55" t="s">
        <v>124</v>
      </c>
      <c r="F89" s="40">
        <f t="shared" si="1"/>
        <v>3.3769999999999998</v>
      </c>
      <c r="G89" s="45"/>
      <c r="H89" s="58"/>
      <c r="I89" s="125" t="s">
        <v>124</v>
      </c>
      <c r="J89" s="101">
        <v>1.5964</v>
      </c>
      <c r="K89" s="101">
        <v>1.7806</v>
      </c>
    </row>
    <row r="90" spans="1:11" ht="15" customHeight="1" x14ac:dyDescent="0.25">
      <c r="A90" s="274"/>
      <c r="B90" s="55"/>
      <c r="C90" s="45"/>
      <c r="D90" s="103">
        <v>2.7629999999999999</v>
      </c>
      <c r="E90" s="55" t="s">
        <v>125</v>
      </c>
      <c r="F90" s="40">
        <f t="shared" si="1"/>
        <v>2.7629999999999999</v>
      </c>
      <c r="G90" s="45"/>
      <c r="H90" s="58"/>
      <c r="I90" s="125" t="s">
        <v>125</v>
      </c>
      <c r="J90" s="101">
        <v>2.149</v>
      </c>
      <c r="K90" s="101">
        <f>0.614</f>
        <v>0.61399999999999999</v>
      </c>
    </row>
    <row r="91" spans="1:11" ht="17.25" customHeight="1" x14ac:dyDescent="0.25">
      <c r="A91" s="274"/>
      <c r="B91" s="55"/>
      <c r="C91" s="45"/>
      <c r="D91" s="103">
        <v>1.228</v>
      </c>
      <c r="E91" s="55" t="s">
        <v>126</v>
      </c>
      <c r="F91" s="40">
        <f t="shared" si="1"/>
        <v>1.228</v>
      </c>
      <c r="G91" s="45"/>
      <c r="H91" s="58"/>
      <c r="I91" s="125" t="s">
        <v>126</v>
      </c>
      <c r="J91" s="103">
        <v>1.228</v>
      </c>
      <c r="K91" s="101">
        <v>0</v>
      </c>
    </row>
    <row r="92" spans="1:11" ht="28.5" customHeight="1" x14ac:dyDescent="0.25">
      <c r="A92" s="274"/>
      <c r="B92" s="55"/>
      <c r="C92" s="45"/>
      <c r="D92" s="103">
        <f>0.921</f>
        <v>0.92100000000000004</v>
      </c>
      <c r="E92" s="55" t="s">
        <v>127</v>
      </c>
      <c r="F92" s="40">
        <f t="shared" si="1"/>
        <v>0.92100000000000004</v>
      </c>
      <c r="G92" s="45"/>
      <c r="H92" s="58"/>
      <c r="I92" s="125" t="s">
        <v>127</v>
      </c>
      <c r="J92" s="103">
        <f>0.921</f>
        <v>0.92100000000000004</v>
      </c>
      <c r="K92" s="101">
        <v>0</v>
      </c>
    </row>
    <row r="93" spans="1:11" ht="15.75" customHeight="1" x14ac:dyDescent="0.25">
      <c r="A93" s="274"/>
      <c r="B93" s="55"/>
      <c r="C93" s="45"/>
      <c r="D93" s="103">
        <v>1.7751300000000001</v>
      </c>
      <c r="E93" s="55" t="s">
        <v>112</v>
      </c>
      <c r="F93" s="40">
        <f t="shared" si="1"/>
        <v>1.7751300000000001</v>
      </c>
      <c r="G93" s="45"/>
      <c r="H93" s="58"/>
      <c r="I93" s="125" t="s">
        <v>112</v>
      </c>
      <c r="J93" s="103">
        <v>1.7751300000000001</v>
      </c>
      <c r="K93" s="101">
        <v>0</v>
      </c>
    </row>
    <row r="94" spans="1:11" ht="30" x14ac:dyDescent="0.25">
      <c r="A94" s="274"/>
      <c r="B94" s="55"/>
      <c r="C94" s="45"/>
      <c r="D94" s="103">
        <f>2.763</f>
        <v>2.7629999999999999</v>
      </c>
      <c r="E94" s="55" t="s">
        <v>128</v>
      </c>
      <c r="F94" s="40">
        <f t="shared" si="1"/>
        <v>2.7629999999999999</v>
      </c>
      <c r="G94" s="45"/>
      <c r="H94" s="58"/>
      <c r="I94" s="125" t="s">
        <v>128</v>
      </c>
      <c r="J94" s="101">
        <f>2.456</f>
        <v>2.456</v>
      </c>
      <c r="K94" s="101">
        <v>0.307</v>
      </c>
    </row>
    <row r="95" spans="1:11" ht="13.5" customHeight="1" x14ac:dyDescent="0.25">
      <c r="A95" s="274"/>
      <c r="B95" s="55"/>
      <c r="C95" s="45"/>
      <c r="D95" s="103">
        <v>1.7751300000000001</v>
      </c>
      <c r="E95" s="55" t="s">
        <v>111</v>
      </c>
      <c r="F95" s="40">
        <f t="shared" si="1"/>
        <v>1.7751300000000001</v>
      </c>
      <c r="G95" s="45"/>
      <c r="H95" s="58"/>
      <c r="I95" s="125" t="s">
        <v>111</v>
      </c>
      <c r="J95" s="103">
        <v>1.7751300000000001</v>
      </c>
      <c r="K95" s="101">
        <v>0</v>
      </c>
    </row>
    <row r="96" spans="1:11" ht="15.75" customHeight="1" x14ac:dyDescent="0.25">
      <c r="A96" s="274"/>
      <c r="B96" s="55"/>
      <c r="C96" s="45"/>
      <c r="D96" s="103">
        <v>2.9788800000000002</v>
      </c>
      <c r="E96" s="55" t="s">
        <v>90</v>
      </c>
      <c r="F96" s="40">
        <f t="shared" si="1"/>
        <v>2.9788800000000002</v>
      </c>
      <c r="G96" s="45"/>
      <c r="H96" s="58"/>
      <c r="I96" s="125" t="s">
        <v>90</v>
      </c>
      <c r="J96" s="101">
        <f>2.0544</f>
        <v>2.0543999999999998</v>
      </c>
      <c r="K96" s="101">
        <v>0.92447999999999997</v>
      </c>
    </row>
    <row r="97" spans="1:11" ht="15" customHeight="1" x14ac:dyDescent="0.25">
      <c r="A97" s="274"/>
      <c r="B97" s="55"/>
      <c r="C97" s="45"/>
      <c r="D97" s="103">
        <f>2.98123+1.39614</f>
        <v>4.37737</v>
      </c>
      <c r="E97" s="55" t="s">
        <v>91</v>
      </c>
      <c r="F97" s="40">
        <f t="shared" si="1"/>
        <v>4.37737</v>
      </c>
      <c r="G97" s="45"/>
      <c r="H97" s="58"/>
      <c r="I97" s="125" t="s">
        <v>91</v>
      </c>
      <c r="J97" s="101">
        <f>1.9378</f>
        <v>1.9378</v>
      </c>
      <c r="K97" s="101">
        <f>2.43957</f>
        <v>2.4395699999999998</v>
      </c>
    </row>
    <row r="98" spans="1:11" ht="13.5" customHeight="1" x14ac:dyDescent="0.25">
      <c r="A98" s="274"/>
      <c r="B98" s="55"/>
      <c r="C98" s="45"/>
      <c r="D98" s="103">
        <v>0.58884000000000003</v>
      </c>
      <c r="E98" s="55" t="s">
        <v>92</v>
      </c>
      <c r="F98" s="40">
        <f t="shared" si="1"/>
        <v>0.58884000000000003</v>
      </c>
      <c r="G98" s="45"/>
      <c r="H98" s="58"/>
      <c r="I98" s="125" t="s">
        <v>92</v>
      </c>
      <c r="J98" s="103">
        <v>0</v>
      </c>
      <c r="K98" s="103">
        <v>0.58884000000000003</v>
      </c>
    </row>
    <row r="99" spans="1:11" ht="13.5" customHeight="1" x14ac:dyDescent="0.25">
      <c r="A99" s="274"/>
      <c r="B99" s="55"/>
      <c r="C99" s="45"/>
      <c r="D99" s="103">
        <v>2.6329999999999999E-2</v>
      </c>
      <c r="E99" s="55" t="s">
        <v>93</v>
      </c>
      <c r="F99" s="40">
        <f t="shared" si="1"/>
        <v>2.6329999999999999E-2</v>
      </c>
      <c r="G99" s="45"/>
      <c r="H99" s="58"/>
      <c r="I99" s="125" t="s">
        <v>93</v>
      </c>
      <c r="J99" s="103">
        <v>2.6329999999999999E-2</v>
      </c>
      <c r="K99" s="101">
        <v>0</v>
      </c>
    </row>
    <row r="100" spans="1:11" ht="13.5" customHeight="1" x14ac:dyDescent="0.25">
      <c r="A100" s="274"/>
      <c r="B100" s="55"/>
      <c r="C100" s="45"/>
      <c r="D100" s="103">
        <f>1.9231</f>
        <v>1.9231</v>
      </c>
      <c r="E100" s="55" t="s">
        <v>94</v>
      </c>
      <c r="F100" s="40">
        <f t="shared" si="1"/>
        <v>1.9231</v>
      </c>
      <c r="G100" s="45"/>
      <c r="H100" s="58"/>
      <c r="I100" s="125" t="s">
        <v>94</v>
      </c>
      <c r="J100" s="101">
        <v>0.27472999999999997</v>
      </c>
      <c r="K100" s="101">
        <f>1.64837</f>
        <v>1.6483699999999999</v>
      </c>
    </row>
    <row r="101" spans="1:11" ht="15" customHeight="1" x14ac:dyDescent="0.25">
      <c r="A101" s="274"/>
      <c r="B101" s="55"/>
      <c r="C101" s="45"/>
      <c r="D101" s="103">
        <v>0.95101999999999998</v>
      </c>
      <c r="E101" s="55" t="s">
        <v>95</v>
      </c>
      <c r="F101" s="40">
        <f t="shared" si="1"/>
        <v>0.95101999999999998</v>
      </c>
      <c r="G101" s="45"/>
      <c r="H101" s="58"/>
      <c r="I101" s="125" t="s">
        <v>95</v>
      </c>
      <c r="J101" s="103">
        <v>0</v>
      </c>
      <c r="K101" s="103">
        <v>0.95101999999999998</v>
      </c>
    </row>
    <row r="102" spans="1:11" ht="15" customHeight="1" x14ac:dyDescent="0.25">
      <c r="A102" s="274"/>
      <c r="B102" s="55"/>
      <c r="C102" s="45"/>
      <c r="D102" s="103">
        <f>5.12487+8.05122</f>
        <v>13.17609</v>
      </c>
      <c r="E102" s="55" t="s">
        <v>96</v>
      </c>
      <c r="F102" s="40">
        <f t="shared" si="1"/>
        <v>13.17609</v>
      </c>
      <c r="G102" s="45"/>
      <c r="H102" s="58"/>
      <c r="I102" s="125" t="s">
        <v>96</v>
      </c>
      <c r="J102" s="101">
        <v>10.27764</v>
      </c>
      <c r="K102" s="101">
        <f>2.89845</f>
        <v>2.89845</v>
      </c>
    </row>
    <row r="103" spans="1:11" ht="15" customHeight="1" x14ac:dyDescent="0.25">
      <c r="A103" s="274"/>
      <c r="B103" s="55"/>
      <c r="C103" s="45"/>
      <c r="D103" s="103">
        <v>0.19153999999999999</v>
      </c>
      <c r="E103" s="55" t="s">
        <v>97</v>
      </c>
      <c r="F103" s="40">
        <f t="shared" si="1"/>
        <v>0.19153999999999999</v>
      </c>
      <c r="G103" s="45"/>
      <c r="H103" s="58"/>
      <c r="I103" s="125" t="s">
        <v>97</v>
      </c>
      <c r="J103" s="101">
        <f>0.07367</f>
        <v>7.3669999999999999E-2</v>
      </c>
      <c r="K103" s="101">
        <f>0.11787</f>
        <v>0.11787</v>
      </c>
    </row>
    <row r="104" spans="1:11" ht="14.25" customHeight="1" x14ac:dyDescent="0.25">
      <c r="A104" s="274"/>
      <c r="B104" s="55"/>
      <c r="C104" s="45"/>
      <c r="D104" s="103">
        <f>0.36504</f>
        <v>0.36503999999999998</v>
      </c>
      <c r="E104" s="55" t="s">
        <v>98</v>
      </c>
      <c r="F104" s="40">
        <f t="shared" si="1"/>
        <v>0.36503999999999998</v>
      </c>
      <c r="G104" s="45"/>
      <c r="H104" s="58"/>
      <c r="I104" s="125" t="s">
        <v>98</v>
      </c>
      <c r="J104" s="101">
        <f>0.21294</f>
        <v>0.21293999999999999</v>
      </c>
      <c r="K104" s="101">
        <f>0.1521</f>
        <v>0.15210000000000001</v>
      </c>
    </row>
    <row r="105" spans="1:11" ht="13.5" customHeight="1" x14ac:dyDescent="0.25">
      <c r="A105" s="274"/>
      <c r="B105" s="55"/>
      <c r="C105" s="45"/>
      <c r="D105" s="103">
        <v>0.63729000000000002</v>
      </c>
      <c r="E105" s="55" t="s">
        <v>99</v>
      </c>
      <c r="F105" s="40">
        <f t="shared" si="1"/>
        <v>0.63729000000000002</v>
      </c>
      <c r="G105" s="45"/>
      <c r="H105" s="58"/>
      <c r="I105" s="125" t="s">
        <v>99</v>
      </c>
      <c r="J105" s="103">
        <v>0.63729000000000002</v>
      </c>
      <c r="K105" s="101">
        <v>0</v>
      </c>
    </row>
    <row r="106" spans="1:11" ht="12.75" customHeight="1" x14ac:dyDescent="0.25">
      <c r="A106" s="274"/>
      <c r="B106" s="55"/>
      <c r="C106" s="45"/>
      <c r="D106" s="103">
        <f>0.95626</f>
        <v>0.95626</v>
      </c>
      <c r="E106" s="55" t="s">
        <v>100</v>
      </c>
      <c r="F106" s="40">
        <f t="shared" si="1"/>
        <v>0.95626</v>
      </c>
      <c r="G106" s="45"/>
      <c r="H106" s="58"/>
      <c r="I106" s="125" t="s">
        <v>100</v>
      </c>
      <c r="J106" s="101">
        <f>0.3825</f>
        <v>0.38250000000000001</v>
      </c>
      <c r="K106" s="101">
        <f>0.57376</f>
        <v>0.57376000000000005</v>
      </c>
    </row>
    <row r="107" spans="1:11" ht="15" customHeight="1" x14ac:dyDescent="0.25">
      <c r="A107" s="274"/>
      <c r="B107" s="55"/>
      <c r="C107" s="45"/>
      <c r="D107" s="103">
        <f>0.17345+0.276+0.08587-0.00006</f>
        <v>0.53526000000000007</v>
      </c>
      <c r="E107" s="56" t="s">
        <v>101</v>
      </c>
      <c r="F107" s="40">
        <f t="shared" si="1"/>
        <v>0.53526000000000007</v>
      </c>
      <c r="G107" s="45"/>
      <c r="H107" s="58"/>
      <c r="I107" s="125" t="s">
        <v>101</v>
      </c>
      <c r="J107" s="101">
        <f>0.3642</f>
        <v>0.36420000000000002</v>
      </c>
      <c r="K107" s="101">
        <f>0.17112</f>
        <v>0.17111999999999999</v>
      </c>
    </row>
    <row r="108" spans="1:11" ht="14.25" customHeight="1" x14ac:dyDescent="0.25">
      <c r="A108" s="274"/>
      <c r="B108" s="55"/>
      <c r="C108" s="45"/>
      <c r="D108" s="103">
        <f>0.49434+1.0431</f>
        <v>1.5374399999999999</v>
      </c>
      <c r="E108" s="55" t="s">
        <v>105</v>
      </c>
      <c r="F108" s="40">
        <f t="shared" si="1"/>
        <v>1.5374399999999999</v>
      </c>
      <c r="G108" s="45"/>
      <c r="H108" s="58"/>
      <c r="I108" s="125" t="s">
        <v>105</v>
      </c>
      <c r="J108" s="101">
        <v>0.55656000000000005</v>
      </c>
      <c r="K108" s="101">
        <v>0.98087999999999997</v>
      </c>
    </row>
    <row r="109" spans="1:11" ht="12.75" customHeight="1" x14ac:dyDescent="0.25">
      <c r="A109" s="274"/>
      <c r="B109" s="55"/>
      <c r="C109" s="45"/>
      <c r="D109" s="103">
        <v>0.67900000000000005</v>
      </c>
      <c r="E109" s="55" t="s">
        <v>104</v>
      </c>
      <c r="F109" s="40">
        <f t="shared" si="1"/>
        <v>0.67900000000000005</v>
      </c>
      <c r="G109" s="45"/>
      <c r="H109" s="58"/>
      <c r="I109" s="125" t="s">
        <v>104</v>
      </c>
      <c r="J109" s="101">
        <f>0.27645</f>
        <v>0.27644999999999997</v>
      </c>
      <c r="K109" s="101">
        <v>0.40255000000000002</v>
      </c>
    </row>
    <row r="110" spans="1:11" ht="14.25" customHeight="1" x14ac:dyDescent="0.25">
      <c r="A110" s="274"/>
      <c r="B110" s="55"/>
      <c r="C110" s="45"/>
      <c r="D110" s="103">
        <v>0.60192000000000001</v>
      </c>
      <c r="E110" s="55" t="s">
        <v>102</v>
      </c>
      <c r="F110" s="40">
        <f t="shared" si="1"/>
        <v>0.60192000000000001</v>
      </c>
      <c r="G110" s="45"/>
      <c r="H110" s="58"/>
      <c r="I110" s="125" t="s">
        <v>102</v>
      </c>
      <c r="J110" s="101">
        <f>0.49362</f>
        <v>0.49362</v>
      </c>
      <c r="K110" s="101">
        <f>0.1083</f>
        <v>0.10829999999999999</v>
      </c>
    </row>
    <row r="111" spans="1:11" ht="13.5" customHeight="1" x14ac:dyDescent="0.25">
      <c r="A111" s="274"/>
      <c r="B111" s="55"/>
      <c r="C111" s="45"/>
      <c r="D111" s="103">
        <f>1.14+0.2048</f>
        <v>1.3448</v>
      </c>
      <c r="E111" s="55" t="s">
        <v>103</v>
      </c>
      <c r="F111" s="40">
        <f t="shared" si="1"/>
        <v>1.3448</v>
      </c>
      <c r="G111" s="45"/>
      <c r="H111" s="58"/>
      <c r="I111" s="125" t="s">
        <v>103</v>
      </c>
      <c r="J111" s="101">
        <f>0.70412</f>
        <v>0.70411999999999997</v>
      </c>
      <c r="K111" s="101">
        <f>0.64068</f>
        <v>0.64068000000000003</v>
      </c>
    </row>
    <row r="112" spans="1:11" ht="15.75" x14ac:dyDescent="0.25">
      <c r="A112" s="274"/>
      <c r="B112" s="55"/>
      <c r="C112" s="45"/>
      <c r="D112" s="103">
        <v>0.46200000000000002</v>
      </c>
      <c r="E112" s="55" t="s">
        <v>106</v>
      </c>
      <c r="F112" s="40">
        <f t="shared" si="1"/>
        <v>0.46200000000000002</v>
      </c>
      <c r="G112" s="45"/>
      <c r="H112" s="58"/>
      <c r="I112" s="125" t="s">
        <v>106</v>
      </c>
      <c r="J112" s="101">
        <f>0.0462</f>
        <v>4.6199999999999998E-2</v>
      </c>
      <c r="K112" s="101">
        <f>0.4158</f>
        <v>0.4158</v>
      </c>
    </row>
    <row r="113" spans="1:11" ht="45" x14ac:dyDescent="0.25">
      <c r="A113" s="274"/>
      <c r="B113" s="60" t="s">
        <v>110</v>
      </c>
      <c r="C113" s="45"/>
      <c r="D113" s="104">
        <v>1.7</v>
      </c>
      <c r="E113" s="55" t="s">
        <v>114</v>
      </c>
      <c r="F113" s="40">
        <f t="shared" si="1"/>
        <v>1.7</v>
      </c>
      <c r="G113" s="45"/>
      <c r="H113" s="45"/>
      <c r="I113" s="125" t="s">
        <v>136</v>
      </c>
      <c r="J113" s="101">
        <v>0</v>
      </c>
      <c r="K113" s="104">
        <v>1.7</v>
      </c>
    </row>
    <row r="114" spans="1:11" ht="15.75" x14ac:dyDescent="0.25">
      <c r="A114" s="274"/>
      <c r="B114" s="60" t="s">
        <v>129</v>
      </c>
      <c r="C114" s="62">
        <v>14.691000000000001</v>
      </c>
      <c r="D114" s="104"/>
      <c r="E114" s="55"/>
      <c r="F114" s="40">
        <v>14.691000000000001</v>
      </c>
      <c r="G114" s="45"/>
      <c r="H114" s="45"/>
      <c r="I114" s="125"/>
      <c r="J114" s="101"/>
      <c r="K114" s="146">
        <v>14.691000000000001</v>
      </c>
    </row>
    <row r="115" spans="1:11" ht="120" x14ac:dyDescent="0.25">
      <c r="A115" s="275" t="s">
        <v>12</v>
      </c>
      <c r="B115" s="135" t="s">
        <v>129</v>
      </c>
      <c r="C115" s="42">
        <v>18.664999999999999</v>
      </c>
      <c r="D115" s="50"/>
      <c r="E115" s="136"/>
      <c r="F115" s="42">
        <f>C115</f>
        <v>18.664999999999999</v>
      </c>
      <c r="G115" s="144" t="s">
        <v>297</v>
      </c>
      <c r="H115" s="145"/>
      <c r="I115" s="145"/>
      <c r="J115" s="46"/>
      <c r="K115" s="135"/>
    </row>
    <row r="116" spans="1:11" ht="58.5" customHeight="1" x14ac:dyDescent="0.25">
      <c r="A116" s="275"/>
      <c r="B116" s="135"/>
      <c r="C116" s="135"/>
      <c r="D116" s="50"/>
      <c r="E116" s="136"/>
      <c r="F116" s="42"/>
      <c r="G116" s="136" t="s">
        <v>260</v>
      </c>
      <c r="H116" s="135">
        <v>17.73</v>
      </c>
      <c r="I116" s="145"/>
      <c r="J116" s="46"/>
      <c r="K116" s="135"/>
    </row>
    <row r="117" spans="1:11" ht="30" x14ac:dyDescent="0.25">
      <c r="A117" s="275"/>
      <c r="B117" s="135"/>
      <c r="C117" s="135"/>
      <c r="D117" s="50"/>
      <c r="E117" s="136"/>
      <c r="F117" s="42"/>
      <c r="G117" s="136" t="s">
        <v>261</v>
      </c>
      <c r="H117" s="135">
        <v>11.9</v>
      </c>
      <c r="I117" s="145"/>
      <c r="J117" s="46"/>
      <c r="K117" s="135"/>
    </row>
    <row r="118" spans="1:11" ht="30" x14ac:dyDescent="0.25">
      <c r="A118" s="275"/>
      <c r="B118" s="135"/>
      <c r="C118" s="135"/>
      <c r="D118" s="50"/>
      <c r="E118" s="136"/>
      <c r="F118" s="42"/>
      <c r="G118" s="136" t="s">
        <v>262</v>
      </c>
      <c r="H118" s="135">
        <f>4.5-0.774</f>
        <v>3.726</v>
      </c>
      <c r="I118" s="145"/>
      <c r="J118" s="46"/>
      <c r="K118" s="135"/>
    </row>
    <row r="119" spans="1:11" ht="57.75" x14ac:dyDescent="0.25">
      <c r="A119" s="275"/>
      <c r="B119" s="90" t="s">
        <v>138</v>
      </c>
      <c r="C119" s="1"/>
      <c r="D119" s="92">
        <v>13.105</v>
      </c>
      <c r="E119" s="13" t="s">
        <v>139</v>
      </c>
      <c r="F119" s="42">
        <f t="shared" ref="F119:F128" si="2">D119</f>
        <v>13.105</v>
      </c>
      <c r="G119" s="1"/>
      <c r="H119" s="1"/>
      <c r="I119" s="119" t="s">
        <v>139</v>
      </c>
      <c r="J119" s="101">
        <v>13.105</v>
      </c>
      <c r="K119" s="101">
        <v>0</v>
      </c>
    </row>
    <row r="120" spans="1:11" ht="30" x14ac:dyDescent="0.25">
      <c r="A120" s="275"/>
      <c r="B120" s="1"/>
      <c r="C120" s="1"/>
      <c r="D120" s="92">
        <v>1.5</v>
      </c>
      <c r="E120" s="15" t="s">
        <v>115</v>
      </c>
      <c r="F120" s="42">
        <f t="shared" si="2"/>
        <v>1.5</v>
      </c>
      <c r="G120" s="1"/>
      <c r="H120" s="1"/>
      <c r="I120" s="127" t="s">
        <v>115</v>
      </c>
      <c r="J120" s="92">
        <v>1.5</v>
      </c>
      <c r="K120" s="101">
        <v>0</v>
      </c>
    </row>
    <row r="121" spans="1:11" x14ac:dyDescent="0.25">
      <c r="A121" s="275"/>
      <c r="B121" s="1"/>
      <c r="C121" s="1"/>
      <c r="D121" s="92">
        <v>0.01</v>
      </c>
      <c r="E121" s="15" t="s">
        <v>140</v>
      </c>
      <c r="F121" s="86">
        <f t="shared" si="2"/>
        <v>0.01</v>
      </c>
      <c r="G121" s="1"/>
      <c r="H121" s="1"/>
      <c r="I121" s="127" t="s">
        <v>140</v>
      </c>
      <c r="J121" s="92">
        <v>0.01</v>
      </c>
      <c r="K121" s="101">
        <v>0</v>
      </c>
    </row>
    <row r="122" spans="1:11" ht="30" x14ac:dyDescent="0.25">
      <c r="A122" s="275"/>
      <c r="B122" s="1"/>
      <c r="C122" s="1"/>
      <c r="D122" s="92">
        <v>5.5E-2</v>
      </c>
      <c r="E122" s="15" t="s">
        <v>141</v>
      </c>
      <c r="F122" s="42">
        <f t="shared" si="2"/>
        <v>5.5E-2</v>
      </c>
      <c r="G122" s="1"/>
      <c r="H122" s="1"/>
      <c r="I122" s="127" t="s">
        <v>141</v>
      </c>
      <c r="J122" s="92">
        <v>5.5E-2</v>
      </c>
      <c r="K122" s="101">
        <v>0</v>
      </c>
    </row>
    <row r="123" spans="1:11" x14ac:dyDescent="0.25">
      <c r="A123" s="275"/>
      <c r="B123" s="1"/>
      <c r="C123" s="1"/>
      <c r="D123" s="92">
        <v>0.96</v>
      </c>
      <c r="E123" s="15" t="s">
        <v>41</v>
      </c>
      <c r="F123" s="42">
        <f t="shared" si="2"/>
        <v>0.96</v>
      </c>
      <c r="G123" s="1"/>
      <c r="H123" s="1"/>
      <c r="I123" s="127" t="s">
        <v>41</v>
      </c>
      <c r="J123" s="92">
        <v>0.96</v>
      </c>
      <c r="K123" s="101">
        <v>0</v>
      </c>
    </row>
    <row r="124" spans="1:11" x14ac:dyDescent="0.25">
      <c r="A124" s="275"/>
      <c r="B124" s="1"/>
      <c r="C124" s="1"/>
      <c r="D124" s="92">
        <v>0.96</v>
      </c>
      <c r="E124" s="15" t="s">
        <v>142</v>
      </c>
      <c r="F124" s="42">
        <f t="shared" si="2"/>
        <v>0.96</v>
      </c>
      <c r="G124" s="1"/>
      <c r="H124" s="1"/>
      <c r="I124" s="127" t="s">
        <v>142</v>
      </c>
      <c r="J124" s="92">
        <v>0.96</v>
      </c>
      <c r="K124" s="101">
        <v>0</v>
      </c>
    </row>
    <row r="125" spans="1:11" ht="30" x14ac:dyDescent="0.25">
      <c r="A125" s="275"/>
      <c r="B125" s="1"/>
      <c r="C125" s="1"/>
      <c r="D125" s="92">
        <v>1.75</v>
      </c>
      <c r="E125" s="15" t="s">
        <v>44</v>
      </c>
      <c r="F125" s="42">
        <f t="shared" si="2"/>
        <v>1.75</v>
      </c>
      <c r="G125" s="1"/>
      <c r="H125" s="1"/>
      <c r="I125" s="127" t="s">
        <v>44</v>
      </c>
      <c r="J125" s="92">
        <v>1.75</v>
      </c>
      <c r="K125" s="101">
        <v>0</v>
      </c>
    </row>
    <row r="126" spans="1:11" ht="56.25" x14ac:dyDescent="0.3">
      <c r="A126" s="275"/>
      <c r="B126" s="52" t="s">
        <v>45</v>
      </c>
      <c r="C126" s="1"/>
      <c r="D126" s="92">
        <v>26.299499999999998</v>
      </c>
      <c r="E126" s="55" t="s">
        <v>143</v>
      </c>
      <c r="F126" s="42">
        <f t="shared" si="2"/>
        <v>26.299499999999998</v>
      </c>
      <c r="G126" s="1"/>
      <c r="H126" s="1"/>
      <c r="I126" s="125" t="s">
        <v>143</v>
      </c>
      <c r="J126" s="92">
        <v>26.299499999999998</v>
      </c>
      <c r="K126" s="101">
        <v>0</v>
      </c>
    </row>
    <row r="127" spans="1:11" ht="30" x14ac:dyDescent="0.25">
      <c r="A127" s="275"/>
      <c r="B127" s="91" t="s">
        <v>22</v>
      </c>
      <c r="C127" s="1"/>
      <c r="D127" s="92">
        <v>21.8</v>
      </c>
      <c r="E127" s="13" t="s">
        <v>139</v>
      </c>
      <c r="F127" s="42">
        <f t="shared" si="2"/>
        <v>21.8</v>
      </c>
      <c r="G127" s="1"/>
      <c r="H127" s="1"/>
      <c r="I127" s="119" t="s">
        <v>139</v>
      </c>
      <c r="J127" s="92">
        <v>21.8</v>
      </c>
      <c r="K127" s="101">
        <v>0</v>
      </c>
    </row>
    <row r="128" spans="1:11" x14ac:dyDescent="0.25">
      <c r="A128" s="275"/>
      <c r="B128" s="1"/>
      <c r="C128" s="1"/>
      <c r="D128" s="92">
        <f>0.28+0.14</f>
        <v>0.42000000000000004</v>
      </c>
      <c r="E128" s="15" t="s">
        <v>24</v>
      </c>
      <c r="F128" s="42">
        <f t="shared" si="2"/>
        <v>0.42000000000000004</v>
      </c>
      <c r="G128" s="1"/>
      <c r="H128" s="1"/>
      <c r="I128" s="127" t="s">
        <v>24</v>
      </c>
      <c r="J128" s="92">
        <f>0.28+0.14</f>
        <v>0.42000000000000004</v>
      </c>
      <c r="K128" s="101">
        <v>0</v>
      </c>
    </row>
    <row r="129" spans="1:11" ht="30" x14ac:dyDescent="0.25">
      <c r="A129" s="275"/>
      <c r="B129" s="1"/>
      <c r="C129" s="1"/>
      <c r="D129" s="92">
        <v>0.3</v>
      </c>
      <c r="E129" s="15" t="s">
        <v>144</v>
      </c>
      <c r="F129" s="42">
        <v>0.3</v>
      </c>
      <c r="G129" s="1"/>
      <c r="H129" s="1"/>
      <c r="I129" s="127" t="s">
        <v>144</v>
      </c>
      <c r="J129" s="92">
        <v>0.3</v>
      </c>
      <c r="K129" s="101">
        <v>0</v>
      </c>
    </row>
    <row r="130" spans="1:11" x14ac:dyDescent="0.25">
      <c r="A130" s="275"/>
      <c r="B130" s="1"/>
      <c r="C130" s="1"/>
      <c r="D130" s="92">
        <v>0.57999999999999996</v>
      </c>
      <c r="E130" s="15" t="s">
        <v>145</v>
      </c>
      <c r="F130" s="42">
        <f t="shared" ref="F130:F137" si="3">D130</f>
        <v>0.57999999999999996</v>
      </c>
      <c r="G130" s="1"/>
      <c r="H130" s="1"/>
      <c r="I130" s="127" t="s">
        <v>145</v>
      </c>
      <c r="J130" s="92">
        <v>0.57999999999999996</v>
      </c>
      <c r="K130" s="101">
        <v>0</v>
      </c>
    </row>
    <row r="131" spans="1:11" ht="30" x14ac:dyDescent="0.25">
      <c r="A131" s="275"/>
      <c r="B131" s="1"/>
      <c r="C131" s="1"/>
      <c r="D131" s="92">
        <v>0.28999999999999998</v>
      </c>
      <c r="E131" s="15" t="s">
        <v>147</v>
      </c>
      <c r="F131" s="42">
        <f t="shared" si="3"/>
        <v>0.28999999999999998</v>
      </c>
      <c r="G131" s="1"/>
      <c r="H131" s="1"/>
      <c r="I131" s="127" t="s">
        <v>147</v>
      </c>
      <c r="J131" s="92">
        <v>0.28999999999999998</v>
      </c>
      <c r="K131" s="101">
        <v>0</v>
      </c>
    </row>
    <row r="132" spans="1:11" x14ac:dyDescent="0.25">
      <c r="A132" s="275"/>
      <c r="B132" s="1"/>
      <c r="C132" s="1"/>
      <c r="D132" s="92">
        <v>0.56999999999999995</v>
      </c>
      <c r="E132" s="15" t="s">
        <v>146</v>
      </c>
      <c r="F132" s="42">
        <f t="shared" si="3"/>
        <v>0.56999999999999995</v>
      </c>
      <c r="G132" s="1"/>
      <c r="H132" s="1"/>
      <c r="I132" s="127" t="s">
        <v>146</v>
      </c>
      <c r="J132" s="92">
        <v>0.56999999999999995</v>
      </c>
      <c r="K132" s="101">
        <v>0</v>
      </c>
    </row>
    <row r="133" spans="1:11" ht="30" x14ac:dyDescent="0.25">
      <c r="A133" s="275"/>
      <c r="B133" s="1"/>
      <c r="C133" s="1"/>
      <c r="D133" s="92">
        <v>1.3</v>
      </c>
      <c r="E133" s="15" t="s">
        <v>42</v>
      </c>
      <c r="F133" s="42">
        <f t="shared" si="3"/>
        <v>1.3</v>
      </c>
      <c r="G133" s="1"/>
      <c r="H133" s="1"/>
      <c r="I133" s="127" t="s">
        <v>42</v>
      </c>
      <c r="J133" s="92">
        <v>1.3</v>
      </c>
      <c r="K133" s="101">
        <v>0</v>
      </c>
    </row>
    <row r="134" spans="1:11" x14ac:dyDescent="0.25">
      <c r="A134" s="275"/>
      <c r="B134" s="1"/>
      <c r="C134" s="1"/>
      <c r="D134" s="92">
        <v>0.50800000000000001</v>
      </c>
      <c r="E134" s="15" t="s">
        <v>142</v>
      </c>
      <c r="F134" s="42">
        <f t="shared" si="3"/>
        <v>0.50800000000000001</v>
      </c>
      <c r="G134" s="1"/>
      <c r="H134" s="1"/>
      <c r="I134" s="127" t="s">
        <v>142</v>
      </c>
      <c r="J134" s="92">
        <v>0.50800000000000001</v>
      </c>
      <c r="K134" s="101">
        <v>0</v>
      </c>
    </row>
    <row r="135" spans="1:11" x14ac:dyDescent="0.25">
      <c r="A135" s="275"/>
      <c r="B135" s="1"/>
      <c r="C135" s="1"/>
      <c r="D135" s="92">
        <v>0.56999999999999995</v>
      </c>
      <c r="E135" s="15" t="s">
        <v>142</v>
      </c>
      <c r="F135" s="42">
        <f t="shared" si="3"/>
        <v>0.56999999999999995</v>
      </c>
      <c r="G135" s="1"/>
      <c r="H135" s="1"/>
      <c r="I135" s="127" t="s">
        <v>142</v>
      </c>
      <c r="J135" s="92">
        <v>0.56999999999999995</v>
      </c>
      <c r="K135" s="101">
        <v>0</v>
      </c>
    </row>
    <row r="136" spans="1:11" ht="30" x14ac:dyDescent="0.25">
      <c r="A136" s="275"/>
      <c r="B136" s="1"/>
      <c r="C136" s="1"/>
      <c r="D136" s="92">
        <f>2.328</f>
        <v>2.3279999999999998</v>
      </c>
      <c r="E136" s="15" t="s">
        <v>44</v>
      </c>
      <c r="F136" s="42">
        <f t="shared" si="3"/>
        <v>2.3279999999999998</v>
      </c>
      <c r="G136" s="1"/>
      <c r="H136" s="1"/>
      <c r="I136" s="127" t="s">
        <v>44</v>
      </c>
      <c r="J136" s="92">
        <f>2.328</f>
        <v>2.3279999999999998</v>
      </c>
      <c r="K136" s="101">
        <v>0</v>
      </c>
    </row>
    <row r="137" spans="1:11" ht="75" x14ac:dyDescent="0.3">
      <c r="A137" s="275"/>
      <c r="B137" s="52" t="s">
        <v>47</v>
      </c>
      <c r="C137" s="1"/>
      <c r="D137" s="92">
        <f>4.23046+2.83935</f>
        <v>7.0698100000000004</v>
      </c>
      <c r="E137" s="15" t="s">
        <v>148</v>
      </c>
      <c r="F137" s="42">
        <f t="shared" si="3"/>
        <v>7.0698100000000004</v>
      </c>
      <c r="G137" s="1"/>
      <c r="H137" s="1"/>
      <c r="I137" s="127" t="s">
        <v>148</v>
      </c>
      <c r="J137" s="92">
        <f>2.83935+2.96132</f>
        <v>5.8006700000000002</v>
      </c>
      <c r="K137" s="92">
        <v>1.2691399999999999</v>
      </c>
    </row>
    <row r="138" spans="1:11" x14ac:dyDescent="0.25">
      <c r="A138" s="275"/>
      <c r="B138" s="1"/>
      <c r="C138" s="1"/>
      <c r="D138" s="101">
        <f>4.23624+5.65302</f>
        <v>9.8892600000000002</v>
      </c>
      <c r="E138" s="15" t="s">
        <v>51</v>
      </c>
      <c r="F138" s="42">
        <f>4.23624+5.65302</f>
        <v>9.8892600000000002</v>
      </c>
      <c r="G138" s="1"/>
      <c r="H138" s="1"/>
      <c r="I138" s="127" t="s">
        <v>51</v>
      </c>
      <c r="J138" s="92">
        <f>2.25933+4.23976</f>
        <v>6.4990900000000007</v>
      </c>
      <c r="K138" s="101">
        <f>1.97691+1.41326</f>
        <v>3.3901699999999999</v>
      </c>
    </row>
    <row r="139" spans="1:11" x14ac:dyDescent="0.25">
      <c r="A139" s="275"/>
      <c r="B139" s="1"/>
      <c r="C139" s="1"/>
      <c r="D139" s="92">
        <f>0.07477+0.06414</f>
        <v>0.13891000000000001</v>
      </c>
      <c r="E139" s="15" t="s">
        <v>149</v>
      </c>
      <c r="F139" s="42">
        <f t="shared" ref="F139:F159" si="4">D139</f>
        <v>0.13891000000000001</v>
      </c>
      <c r="G139" s="1"/>
      <c r="H139" s="1"/>
      <c r="I139" s="127" t="s">
        <v>149</v>
      </c>
      <c r="J139" s="92">
        <v>7.4770000000000003E-2</v>
      </c>
      <c r="K139" s="101">
        <f>0.064</f>
        <v>6.4000000000000001E-2</v>
      </c>
    </row>
    <row r="140" spans="1:11" x14ac:dyDescent="0.25">
      <c r="A140" s="275"/>
      <c r="B140" s="1"/>
      <c r="C140" s="1"/>
      <c r="D140" s="92">
        <v>1.917E-2</v>
      </c>
      <c r="E140" s="15" t="s">
        <v>150</v>
      </c>
      <c r="F140" s="42">
        <f t="shared" si="4"/>
        <v>1.917E-2</v>
      </c>
      <c r="G140" s="1"/>
      <c r="H140" s="1"/>
      <c r="I140" s="127" t="s">
        <v>150</v>
      </c>
      <c r="J140" s="92">
        <v>1.917E-2</v>
      </c>
      <c r="K140" s="101">
        <v>0</v>
      </c>
    </row>
    <row r="141" spans="1:11" x14ac:dyDescent="0.25">
      <c r="A141" s="275"/>
      <c r="B141" s="1"/>
      <c r="C141" s="1"/>
      <c r="D141" s="92">
        <v>0.1</v>
      </c>
      <c r="E141" s="15" t="s">
        <v>151</v>
      </c>
      <c r="F141" s="42">
        <f t="shared" si="4"/>
        <v>0.1</v>
      </c>
      <c r="G141" s="1"/>
      <c r="H141" s="1"/>
      <c r="I141" s="127" t="s">
        <v>151</v>
      </c>
      <c r="J141" s="92">
        <v>4.7E-2</v>
      </c>
      <c r="K141" s="101">
        <v>5.2999999999999999E-2</v>
      </c>
    </row>
    <row r="142" spans="1:11" x14ac:dyDescent="0.25">
      <c r="A142" s="275"/>
      <c r="B142" s="1"/>
      <c r="C142" s="1"/>
      <c r="D142" s="92">
        <v>0.11984</v>
      </c>
      <c r="E142" s="15" t="s">
        <v>152</v>
      </c>
      <c r="F142" s="42">
        <f t="shared" si="4"/>
        <v>0.11984</v>
      </c>
      <c r="G142" s="1"/>
      <c r="H142" s="1"/>
      <c r="I142" s="127" t="s">
        <v>152</v>
      </c>
      <c r="J142" s="92">
        <v>0.11984</v>
      </c>
      <c r="K142" s="101">
        <v>0</v>
      </c>
    </row>
    <row r="143" spans="1:11" x14ac:dyDescent="0.25">
      <c r="A143" s="275"/>
      <c r="B143" s="1"/>
      <c r="C143" s="1"/>
      <c r="D143" s="92">
        <v>2.5046599999999999</v>
      </c>
      <c r="E143" s="15" t="s">
        <v>153</v>
      </c>
      <c r="F143" s="42">
        <f t="shared" si="4"/>
        <v>2.5046599999999999</v>
      </c>
      <c r="G143" s="1"/>
      <c r="H143" s="1"/>
      <c r="I143" s="127" t="s">
        <v>153</v>
      </c>
      <c r="J143" s="92">
        <v>2.5046599999999999</v>
      </c>
      <c r="K143" s="101">
        <v>0</v>
      </c>
    </row>
    <row r="144" spans="1:11" x14ac:dyDescent="0.25">
      <c r="A144" s="275"/>
      <c r="B144" s="1"/>
      <c r="C144" s="1"/>
      <c r="D144" s="92">
        <v>1.028</v>
      </c>
      <c r="E144" s="15" t="s">
        <v>108</v>
      </c>
      <c r="F144" s="42">
        <f t="shared" si="4"/>
        <v>1.028</v>
      </c>
      <c r="G144" s="1"/>
      <c r="H144" s="1"/>
      <c r="I144" s="127" t="s">
        <v>108</v>
      </c>
      <c r="J144" s="92">
        <v>0.89949999999999997</v>
      </c>
      <c r="K144" s="101">
        <v>0.1285</v>
      </c>
    </row>
    <row r="145" spans="1:11" x14ac:dyDescent="0.25">
      <c r="A145" s="275"/>
      <c r="B145" s="1"/>
      <c r="C145" s="1"/>
      <c r="D145" s="92">
        <v>2.7653799999999999</v>
      </c>
      <c r="E145" s="15" t="s">
        <v>58</v>
      </c>
      <c r="F145" s="42">
        <f t="shared" si="4"/>
        <v>2.7653799999999999</v>
      </c>
      <c r="G145" s="1"/>
      <c r="H145" s="1"/>
      <c r="I145" s="127" t="s">
        <v>58</v>
      </c>
      <c r="J145" s="92">
        <v>0</v>
      </c>
      <c r="K145" s="92">
        <v>2.7653799999999999</v>
      </c>
    </row>
    <row r="146" spans="1:11" x14ac:dyDescent="0.25">
      <c r="A146" s="275"/>
      <c r="B146" s="1"/>
      <c r="C146" s="1"/>
      <c r="D146" s="92">
        <v>4.1239999999999999E-2</v>
      </c>
      <c r="E146" s="15" t="s">
        <v>154</v>
      </c>
      <c r="F146" s="42">
        <f t="shared" si="4"/>
        <v>4.1239999999999999E-2</v>
      </c>
      <c r="G146" s="1"/>
      <c r="H146" s="1"/>
      <c r="I146" s="127" t="s">
        <v>154</v>
      </c>
      <c r="J146" s="92">
        <v>4.1239999999999999E-2</v>
      </c>
      <c r="K146" s="101">
        <v>0</v>
      </c>
    </row>
    <row r="147" spans="1:11" ht="30" x14ac:dyDescent="0.25">
      <c r="A147" s="275"/>
      <c r="B147" s="1"/>
      <c r="C147" s="1"/>
      <c r="D147" s="92">
        <f>0.30602+0.09416+0.30602+0.32956</f>
        <v>1.03576</v>
      </c>
      <c r="E147" s="15" t="s">
        <v>155</v>
      </c>
      <c r="F147" s="42">
        <f t="shared" si="4"/>
        <v>1.03576</v>
      </c>
      <c r="G147" s="1"/>
      <c r="H147" s="1"/>
      <c r="I147" s="127" t="s">
        <v>155</v>
      </c>
      <c r="J147" s="92">
        <f>0.30602+0.09416+0.30602+0.08239</f>
        <v>0.7885899999999999</v>
      </c>
      <c r="K147" s="101">
        <f>0.24717</f>
        <v>0.24717</v>
      </c>
    </row>
    <row r="148" spans="1:11" x14ac:dyDescent="0.25">
      <c r="A148" s="275"/>
      <c r="B148" s="1"/>
      <c r="C148" s="1"/>
      <c r="D148" s="92">
        <v>6.7140000000000005E-2</v>
      </c>
      <c r="E148" s="15" t="s">
        <v>156</v>
      </c>
      <c r="F148" s="42">
        <f t="shared" si="4"/>
        <v>6.7140000000000005E-2</v>
      </c>
      <c r="G148" s="1"/>
      <c r="H148" s="1"/>
      <c r="I148" s="127" t="s">
        <v>156</v>
      </c>
      <c r="J148" s="92">
        <v>2.6859999999999998E-2</v>
      </c>
      <c r="K148" s="92">
        <v>4.0280000000000003E-2</v>
      </c>
    </row>
    <row r="149" spans="1:11" x14ac:dyDescent="0.25">
      <c r="A149" s="275"/>
      <c r="B149" s="1"/>
      <c r="C149" s="1"/>
      <c r="D149" s="92">
        <f>0.07723+0.13428</f>
        <v>0.21151</v>
      </c>
      <c r="E149" s="15" t="s">
        <v>157</v>
      </c>
      <c r="F149" s="42">
        <f t="shared" si="4"/>
        <v>0.21151</v>
      </c>
      <c r="G149" s="1"/>
      <c r="H149" s="1"/>
      <c r="I149" s="127" t="s">
        <v>157</v>
      </c>
      <c r="J149" s="92">
        <f>0.07723+0.04028</f>
        <v>0.11751</v>
      </c>
      <c r="K149" s="101">
        <f>0.094</f>
        <v>9.4E-2</v>
      </c>
    </row>
    <row r="150" spans="1:11" x14ac:dyDescent="0.25">
      <c r="A150" s="275"/>
      <c r="B150" s="1"/>
      <c r="C150" s="1"/>
      <c r="D150" s="92">
        <f>0.0612+0.0306</f>
        <v>9.1799999999999993E-2</v>
      </c>
      <c r="E150" s="15" t="s">
        <v>109</v>
      </c>
      <c r="F150" s="42">
        <f t="shared" si="4"/>
        <v>9.1799999999999993E-2</v>
      </c>
      <c r="G150" s="1"/>
      <c r="H150" s="1"/>
      <c r="I150" s="127" t="s">
        <v>109</v>
      </c>
      <c r="J150" s="92">
        <f>0.0612+0.01836</f>
        <v>7.9559999999999992E-2</v>
      </c>
      <c r="K150" s="101">
        <f>0.01224</f>
        <v>1.2239999999999999E-2</v>
      </c>
    </row>
    <row r="151" spans="1:11" x14ac:dyDescent="0.25">
      <c r="A151" s="275"/>
      <c r="B151" s="1"/>
      <c r="C151" s="1"/>
      <c r="D151" s="92">
        <f>0.48657+0.51591</f>
        <v>1.00248</v>
      </c>
      <c r="E151" s="15" t="s">
        <v>158</v>
      </c>
      <c r="F151" s="42">
        <f t="shared" si="4"/>
        <v>1.00248</v>
      </c>
      <c r="G151" s="1"/>
      <c r="H151" s="1"/>
      <c r="I151" s="127" t="s">
        <v>158</v>
      </c>
      <c r="J151" s="92">
        <f>0.48657+0.51591</f>
        <v>1.00248</v>
      </c>
      <c r="K151" s="101">
        <v>0</v>
      </c>
    </row>
    <row r="152" spans="1:11" x14ac:dyDescent="0.25">
      <c r="A152" s="275"/>
      <c r="B152" s="1"/>
      <c r="C152" s="1"/>
      <c r="D152" s="92">
        <f>0.11055+0.75799</f>
        <v>0.86854000000000009</v>
      </c>
      <c r="E152" s="15" t="s">
        <v>159</v>
      </c>
      <c r="F152" s="42">
        <f t="shared" si="4"/>
        <v>0.86854000000000009</v>
      </c>
      <c r="G152" s="1"/>
      <c r="H152" s="1"/>
      <c r="I152" s="127" t="s">
        <v>159</v>
      </c>
      <c r="J152" s="92">
        <f>0.11055+0.75799</f>
        <v>0.86854000000000009</v>
      </c>
      <c r="K152" s="101">
        <v>0</v>
      </c>
    </row>
    <row r="153" spans="1:11" x14ac:dyDescent="0.25">
      <c r="A153" s="275"/>
      <c r="B153" s="1"/>
      <c r="C153" s="1"/>
      <c r="D153" s="92">
        <v>15.589130000000001</v>
      </c>
      <c r="E153" s="15" t="s">
        <v>160</v>
      </c>
      <c r="F153" s="42">
        <f t="shared" si="4"/>
        <v>15.589130000000001</v>
      </c>
      <c r="G153" s="1"/>
      <c r="H153" s="1"/>
      <c r="I153" s="127" t="s">
        <v>160</v>
      </c>
      <c r="J153" s="92">
        <v>14.03021</v>
      </c>
      <c r="K153" s="101">
        <v>1.5589200000000001</v>
      </c>
    </row>
    <row r="154" spans="1:11" x14ac:dyDescent="0.25">
      <c r="A154" s="275"/>
      <c r="B154" s="1"/>
      <c r="C154" s="1"/>
      <c r="D154" s="92">
        <f>0.01485+0.04455</f>
        <v>5.9400000000000001E-2</v>
      </c>
      <c r="E154" s="15" t="s">
        <v>62</v>
      </c>
      <c r="F154" s="42">
        <f t="shared" si="4"/>
        <v>5.9400000000000001E-2</v>
      </c>
      <c r="G154" s="1"/>
      <c r="H154" s="1"/>
      <c r="I154" s="127" t="s">
        <v>161</v>
      </c>
      <c r="J154" s="92">
        <f>0.01485+0.0104</f>
        <v>2.5250000000000002E-2</v>
      </c>
      <c r="K154" s="101">
        <v>3.415E-2</v>
      </c>
    </row>
    <row r="155" spans="1:11" x14ac:dyDescent="0.25">
      <c r="A155" s="275"/>
      <c r="B155" s="1"/>
      <c r="C155" s="1"/>
      <c r="D155" s="92">
        <v>0.69474999999999998</v>
      </c>
      <c r="E155" s="15" t="s">
        <v>63</v>
      </c>
      <c r="F155" s="42">
        <f t="shared" si="4"/>
        <v>0.69474999999999998</v>
      </c>
      <c r="G155" s="1"/>
      <c r="H155" s="1"/>
      <c r="I155" s="127" t="s">
        <v>63</v>
      </c>
      <c r="J155" s="92">
        <v>0.69474999999999998</v>
      </c>
      <c r="K155" s="101">
        <v>0</v>
      </c>
    </row>
    <row r="156" spans="1:11" x14ac:dyDescent="0.25">
      <c r="A156" s="275"/>
      <c r="B156" s="1"/>
      <c r="C156" s="1"/>
      <c r="D156" s="92">
        <f>0.05254+0.13134</f>
        <v>0.18388000000000002</v>
      </c>
      <c r="E156" s="15" t="s">
        <v>64</v>
      </c>
      <c r="F156" s="42">
        <f t="shared" si="4"/>
        <v>0.18388000000000002</v>
      </c>
      <c r="G156" s="1"/>
      <c r="H156" s="1"/>
      <c r="I156" s="127" t="s">
        <v>64</v>
      </c>
      <c r="J156" s="92">
        <f>0.05254+0.13134</f>
        <v>0.18388000000000002</v>
      </c>
      <c r="K156" s="101">
        <v>0</v>
      </c>
    </row>
    <row r="157" spans="1:11" x14ac:dyDescent="0.25">
      <c r="A157" s="275"/>
      <c r="B157" s="1"/>
      <c r="C157" s="1"/>
      <c r="D157" s="92">
        <v>1.8679999999999999E-2</v>
      </c>
      <c r="E157" s="15" t="s">
        <v>162</v>
      </c>
      <c r="F157" s="42">
        <f t="shared" si="4"/>
        <v>1.8679999999999999E-2</v>
      </c>
      <c r="G157" s="1"/>
      <c r="H157" s="1"/>
      <c r="I157" s="127" t="s">
        <v>162</v>
      </c>
      <c r="J157" s="92">
        <v>0</v>
      </c>
      <c r="K157" s="101">
        <v>1.8679999999999999E-2</v>
      </c>
    </row>
    <row r="158" spans="1:11" x14ac:dyDescent="0.25">
      <c r="A158" s="275"/>
      <c r="B158" s="1"/>
      <c r="C158" s="1"/>
      <c r="D158" s="92">
        <v>0.88500000000000001</v>
      </c>
      <c r="E158" s="15" t="s">
        <v>163</v>
      </c>
      <c r="F158" s="42">
        <f t="shared" si="4"/>
        <v>0.88500000000000001</v>
      </c>
      <c r="G158" s="1"/>
      <c r="H158" s="1"/>
      <c r="I158" s="127" t="s">
        <v>163</v>
      </c>
      <c r="J158" s="92">
        <v>0.88500000000000001</v>
      </c>
      <c r="K158" s="101">
        <v>0</v>
      </c>
    </row>
    <row r="159" spans="1:11" x14ac:dyDescent="0.25">
      <c r="A159" s="275"/>
      <c r="B159" s="1"/>
      <c r="C159" s="1"/>
      <c r="D159" s="92">
        <v>0.1095</v>
      </c>
      <c r="E159" s="15" t="s">
        <v>164</v>
      </c>
      <c r="F159" s="42">
        <f t="shared" si="4"/>
        <v>0.1095</v>
      </c>
      <c r="G159" s="1"/>
      <c r="H159" s="1"/>
      <c r="I159" s="127" t="s">
        <v>164</v>
      </c>
      <c r="J159" s="92">
        <v>6.5699999999999995E-2</v>
      </c>
      <c r="K159" s="101">
        <v>4.3799999999999999E-2</v>
      </c>
    </row>
    <row r="160" spans="1:11" x14ac:dyDescent="0.25">
      <c r="A160" s="275"/>
      <c r="B160" s="1"/>
      <c r="C160" s="1"/>
      <c r="D160" s="92">
        <f>0.54236</f>
        <v>0.54235999999999995</v>
      </c>
      <c r="E160" s="15" t="s">
        <v>165</v>
      </c>
      <c r="F160" s="42">
        <v>0.54235999999999995</v>
      </c>
      <c r="G160" s="1"/>
      <c r="H160" s="1"/>
      <c r="I160" s="127" t="s">
        <v>165</v>
      </c>
      <c r="J160" s="92">
        <v>0.32768000000000003</v>
      </c>
      <c r="K160" s="101">
        <v>0.21468000000000001</v>
      </c>
    </row>
    <row r="161" spans="1:11" x14ac:dyDescent="0.25">
      <c r="A161" s="275"/>
      <c r="B161" s="1"/>
      <c r="C161" s="1"/>
      <c r="D161" s="92">
        <v>0.32250000000000001</v>
      </c>
      <c r="E161" s="15" t="s">
        <v>166</v>
      </c>
      <c r="F161" s="42">
        <f t="shared" ref="F161:F186" si="5">D161</f>
        <v>0.32250000000000001</v>
      </c>
      <c r="G161" s="1"/>
      <c r="H161" s="1"/>
      <c r="I161" s="127" t="s">
        <v>166</v>
      </c>
      <c r="J161" s="101">
        <v>0.32250000000000001</v>
      </c>
      <c r="K161" s="101">
        <v>0</v>
      </c>
    </row>
    <row r="162" spans="1:11" x14ac:dyDescent="0.25">
      <c r="A162" s="275"/>
      <c r="B162" s="1"/>
      <c r="C162" s="1"/>
      <c r="D162" s="92">
        <f>0.72866+0.58294</f>
        <v>1.3115999999999999</v>
      </c>
      <c r="E162" s="15" t="s">
        <v>69</v>
      </c>
      <c r="F162" s="42">
        <f t="shared" si="5"/>
        <v>1.3115999999999999</v>
      </c>
      <c r="G162" s="1"/>
      <c r="H162" s="1"/>
      <c r="I162" s="127" t="s">
        <v>69</v>
      </c>
      <c r="J162" s="92">
        <f>0.72866+0.32255</f>
        <v>1.05121</v>
      </c>
      <c r="K162" s="101">
        <v>0.26039000000000001</v>
      </c>
    </row>
    <row r="163" spans="1:11" x14ac:dyDescent="0.25">
      <c r="A163" s="275"/>
      <c r="B163" s="1"/>
      <c r="C163" s="1"/>
      <c r="D163" s="92">
        <v>0.21185999999999999</v>
      </c>
      <c r="E163" s="15" t="s">
        <v>167</v>
      </c>
      <c r="F163" s="42">
        <f t="shared" si="5"/>
        <v>0.21185999999999999</v>
      </c>
      <c r="G163" s="1"/>
      <c r="H163" s="1"/>
      <c r="I163" s="127" t="s">
        <v>167</v>
      </c>
      <c r="J163" s="92">
        <v>0.21185999999999999</v>
      </c>
      <c r="K163" s="101">
        <v>0</v>
      </c>
    </row>
    <row r="164" spans="1:11" ht="30" x14ac:dyDescent="0.25">
      <c r="A164" s="275"/>
      <c r="B164" s="1"/>
      <c r="C164" s="1"/>
      <c r="D164" s="92">
        <v>0.24890000000000001</v>
      </c>
      <c r="E164" s="15" t="s">
        <v>168</v>
      </c>
      <c r="F164" s="42">
        <f t="shared" si="5"/>
        <v>0.24890000000000001</v>
      </c>
      <c r="G164" s="1"/>
      <c r="H164" s="1"/>
      <c r="I164" s="127" t="s">
        <v>168</v>
      </c>
      <c r="J164" s="92">
        <v>0</v>
      </c>
      <c r="K164" s="101">
        <v>0.24890000000000001</v>
      </c>
    </row>
    <row r="165" spans="1:11" x14ac:dyDescent="0.25">
      <c r="A165" s="275"/>
      <c r="B165" s="1"/>
      <c r="C165" s="1"/>
      <c r="D165" s="92">
        <v>0.75600000000000001</v>
      </c>
      <c r="E165" s="15" t="s">
        <v>70</v>
      </c>
      <c r="F165" s="42">
        <f t="shared" si="5"/>
        <v>0.75600000000000001</v>
      </c>
      <c r="G165" s="1"/>
      <c r="H165" s="1"/>
      <c r="I165" s="127" t="s">
        <v>70</v>
      </c>
      <c r="J165" s="92">
        <v>0.75600000000000001</v>
      </c>
      <c r="K165" s="101">
        <v>0</v>
      </c>
    </row>
    <row r="166" spans="1:11" ht="30" x14ac:dyDescent="0.25">
      <c r="A166" s="275"/>
      <c r="B166" s="1"/>
      <c r="C166" s="1"/>
      <c r="D166" s="92">
        <v>0.21801999999999999</v>
      </c>
      <c r="E166" s="15" t="s">
        <v>169</v>
      </c>
      <c r="F166" s="42">
        <f t="shared" si="5"/>
        <v>0.21801999999999999</v>
      </c>
      <c r="G166" s="1"/>
      <c r="H166" s="1"/>
      <c r="I166" s="127" t="s">
        <v>169</v>
      </c>
      <c r="J166" s="92">
        <v>6.5409999999999996E-2</v>
      </c>
      <c r="K166" s="101">
        <v>0.15261</v>
      </c>
    </row>
    <row r="167" spans="1:11" ht="30" x14ac:dyDescent="0.25">
      <c r="A167" s="275"/>
      <c r="B167" s="1"/>
      <c r="C167" s="1"/>
      <c r="D167" s="92">
        <v>2.34572</v>
      </c>
      <c r="E167" s="15" t="s">
        <v>170</v>
      </c>
      <c r="F167" s="42">
        <f t="shared" si="5"/>
        <v>2.34572</v>
      </c>
      <c r="G167" s="1"/>
      <c r="H167" s="1"/>
      <c r="I167" s="127" t="s">
        <v>170</v>
      </c>
      <c r="J167" s="92">
        <v>1.17286</v>
      </c>
      <c r="K167" s="101">
        <v>1.17286</v>
      </c>
    </row>
    <row r="168" spans="1:11" x14ac:dyDescent="0.25">
      <c r="A168" s="275"/>
      <c r="B168" s="1"/>
      <c r="C168" s="1"/>
      <c r="D168" s="92">
        <v>5.6599999999999998E-2</v>
      </c>
      <c r="E168" s="15" t="s">
        <v>171</v>
      </c>
      <c r="F168" s="42">
        <f t="shared" si="5"/>
        <v>5.6599999999999998E-2</v>
      </c>
      <c r="G168" s="1"/>
      <c r="H168" s="1"/>
      <c r="I168" s="127" t="s">
        <v>171</v>
      </c>
      <c r="J168" s="92">
        <f>D168</f>
        <v>5.6599999999999998E-2</v>
      </c>
      <c r="K168" s="101">
        <v>0</v>
      </c>
    </row>
    <row r="169" spans="1:11" ht="30" x14ac:dyDescent="0.25">
      <c r="A169" s="275"/>
      <c r="B169" s="1"/>
      <c r="C169" s="1"/>
      <c r="D169" s="92">
        <f>3.61574+0.80357+0.7062</f>
        <v>5.1255100000000002</v>
      </c>
      <c r="E169" s="15" t="s">
        <v>172</v>
      </c>
      <c r="F169" s="93">
        <f t="shared" si="5"/>
        <v>5.1255100000000002</v>
      </c>
      <c r="G169" s="1"/>
      <c r="H169" s="1"/>
      <c r="I169" s="127" t="s">
        <v>172</v>
      </c>
      <c r="J169" s="92">
        <v>5.1260000000000003</v>
      </c>
      <c r="K169" s="92">
        <v>0</v>
      </c>
    </row>
    <row r="170" spans="1:11" x14ac:dyDescent="0.25">
      <c r="A170" s="275"/>
      <c r="B170" s="1"/>
      <c r="C170" s="1"/>
      <c r="D170" s="92">
        <v>0.84545999999999999</v>
      </c>
      <c r="E170" s="1" t="s">
        <v>173</v>
      </c>
      <c r="F170" s="93">
        <f t="shared" si="5"/>
        <v>0.84545999999999999</v>
      </c>
      <c r="G170" s="1"/>
      <c r="H170" s="1"/>
      <c r="I170" s="128" t="s">
        <v>173</v>
      </c>
      <c r="J170" s="92">
        <v>0.84545999999999999</v>
      </c>
      <c r="K170" s="92">
        <v>0</v>
      </c>
    </row>
    <row r="171" spans="1:11" x14ac:dyDescent="0.25">
      <c r="A171" s="275"/>
      <c r="B171" s="1"/>
      <c r="C171" s="1"/>
      <c r="D171" s="92">
        <v>6.0389999999999999E-2</v>
      </c>
      <c r="E171" s="1" t="s">
        <v>174</v>
      </c>
      <c r="F171" s="93">
        <f t="shared" si="5"/>
        <v>6.0389999999999999E-2</v>
      </c>
      <c r="G171" s="1"/>
      <c r="H171" s="1"/>
      <c r="I171" s="128" t="s">
        <v>174</v>
      </c>
      <c r="J171" s="92">
        <v>6.0389999999999999E-2</v>
      </c>
      <c r="K171" s="92">
        <v>0</v>
      </c>
    </row>
    <row r="172" spans="1:11" x14ac:dyDescent="0.25">
      <c r="A172" s="275"/>
      <c r="B172" s="1"/>
      <c r="C172" s="1"/>
      <c r="D172" s="92">
        <v>13.696730000000001</v>
      </c>
      <c r="E172" s="1" t="s">
        <v>77</v>
      </c>
      <c r="F172" s="93">
        <f t="shared" si="5"/>
        <v>13.696730000000001</v>
      </c>
      <c r="G172" s="1"/>
      <c r="H172" s="1"/>
      <c r="I172" s="128" t="s">
        <v>77</v>
      </c>
      <c r="J172" s="92">
        <v>13.13743</v>
      </c>
      <c r="K172" s="92">
        <v>0.55930000000000002</v>
      </c>
    </row>
    <row r="173" spans="1:11" ht="30" x14ac:dyDescent="0.25">
      <c r="A173" s="275"/>
      <c r="B173" s="1"/>
      <c r="C173" s="1"/>
      <c r="D173" s="92">
        <v>0.45902999999999999</v>
      </c>
      <c r="E173" s="15" t="s">
        <v>175</v>
      </c>
      <c r="F173" s="93">
        <f t="shared" si="5"/>
        <v>0.45902999999999999</v>
      </c>
      <c r="G173" s="1"/>
      <c r="H173" s="1"/>
      <c r="I173" s="127" t="s">
        <v>175</v>
      </c>
      <c r="J173" s="92">
        <v>0.35310000000000002</v>
      </c>
      <c r="K173" s="92">
        <v>0.10593</v>
      </c>
    </row>
    <row r="174" spans="1:11" ht="30" x14ac:dyDescent="0.25">
      <c r="A174" s="275"/>
      <c r="B174" s="1"/>
      <c r="C174" s="1"/>
      <c r="D174" s="92">
        <f>0.07918+0.07918+0.07233</f>
        <v>0.23069000000000001</v>
      </c>
      <c r="E174" s="15" t="s">
        <v>176</v>
      </c>
      <c r="F174" s="93">
        <f t="shared" si="5"/>
        <v>0.23069000000000001</v>
      </c>
      <c r="G174" s="1"/>
      <c r="H174" s="1"/>
      <c r="I174" s="127" t="s">
        <v>176</v>
      </c>
      <c r="J174" s="92">
        <v>0.18184</v>
      </c>
      <c r="K174" s="92">
        <v>4.8849999999999998E-2</v>
      </c>
    </row>
    <row r="175" spans="1:11" ht="30" x14ac:dyDescent="0.25">
      <c r="A175" s="275"/>
      <c r="B175" s="1"/>
      <c r="C175" s="1"/>
      <c r="D175" s="92">
        <v>5.2639999999999999E-2</v>
      </c>
      <c r="E175" s="15" t="s">
        <v>177</v>
      </c>
      <c r="F175" s="93">
        <f t="shared" si="5"/>
        <v>5.2639999999999999E-2</v>
      </c>
      <c r="G175" s="1"/>
      <c r="H175" s="1"/>
      <c r="I175" s="127" t="s">
        <v>177</v>
      </c>
      <c r="J175" s="92">
        <v>5.2639999999999999E-2</v>
      </c>
      <c r="K175" s="92">
        <v>0</v>
      </c>
    </row>
    <row r="176" spans="1:11" x14ac:dyDescent="0.25">
      <c r="A176" s="275"/>
      <c r="B176" s="1"/>
      <c r="C176" s="1"/>
      <c r="D176" s="92">
        <v>0.20127</v>
      </c>
      <c r="E176" s="1" t="s">
        <v>178</v>
      </c>
      <c r="F176" s="93">
        <f t="shared" si="5"/>
        <v>0.20127</v>
      </c>
      <c r="G176" s="1"/>
      <c r="H176" s="1"/>
      <c r="I176" s="128" t="s">
        <v>178</v>
      </c>
      <c r="J176" s="92">
        <v>0.20127</v>
      </c>
      <c r="K176" s="92">
        <v>0</v>
      </c>
    </row>
    <row r="177" spans="1:11" x14ac:dyDescent="0.25">
      <c r="A177" s="275"/>
      <c r="B177" s="1"/>
      <c r="C177" s="1"/>
      <c r="D177" s="92">
        <v>0.21929999999999999</v>
      </c>
      <c r="E177" s="1" t="s">
        <v>179</v>
      </c>
      <c r="F177" s="93">
        <f t="shared" si="5"/>
        <v>0.21929999999999999</v>
      </c>
      <c r="G177" s="1"/>
      <c r="H177" s="1"/>
      <c r="I177" s="128" t="s">
        <v>179</v>
      </c>
      <c r="J177" s="92">
        <v>0.11609999999999999</v>
      </c>
      <c r="K177" s="92">
        <v>0.1032</v>
      </c>
    </row>
    <row r="178" spans="1:11" x14ac:dyDescent="0.25">
      <c r="A178" s="275"/>
      <c r="B178" s="1"/>
      <c r="C178" s="1"/>
      <c r="D178" s="92">
        <f>0.222+1.4589</f>
        <v>1.6809000000000001</v>
      </c>
      <c r="E178" s="1" t="s">
        <v>180</v>
      </c>
      <c r="F178" s="93">
        <f t="shared" si="5"/>
        <v>1.6809000000000001</v>
      </c>
      <c r="G178" s="1"/>
      <c r="H178" s="1"/>
      <c r="I178" s="128" t="s">
        <v>180</v>
      </c>
      <c r="J178" s="92">
        <v>1.1297600000000001</v>
      </c>
      <c r="K178" s="92">
        <v>0.55113999999999996</v>
      </c>
    </row>
    <row r="179" spans="1:11" x14ac:dyDescent="0.25">
      <c r="A179" s="275"/>
      <c r="B179" s="1"/>
      <c r="C179" s="1"/>
      <c r="D179" s="92">
        <v>0.2064</v>
      </c>
      <c r="E179" s="1" t="s">
        <v>181</v>
      </c>
      <c r="F179" s="93">
        <f t="shared" si="5"/>
        <v>0.2064</v>
      </c>
      <c r="G179" s="1"/>
      <c r="H179" s="1"/>
      <c r="I179" s="128" t="s">
        <v>181</v>
      </c>
      <c r="J179" s="92">
        <v>0.2064</v>
      </c>
      <c r="K179" s="92">
        <v>0</v>
      </c>
    </row>
    <row r="180" spans="1:11" x14ac:dyDescent="0.25">
      <c r="A180" s="275"/>
      <c r="B180" s="1"/>
      <c r="C180" s="1"/>
      <c r="D180" s="92">
        <v>10.098660000000001</v>
      </c>
      <c r="E180" s="1" t="s">
        <v>182</v>
      </c>
      <c r="F180" s="93">
        <f t="shared" si="5"/>
        <v>10.098660000000001</v>
      </c>
      <c r="G180" s="1"/>
      <c r="H180" s="1"/>
      <c r="I180" s="128" t="s">
        <v>182</v>
      </c>
      <c r="J180" s="92">
        <v>10.098660000000001</v>
      </c>
      <c r="K180" s="92">
        <v>0</v>
      </c>
    </row>
    <row r="181" spans="1:11" x14ac:dyDescent="0.25">
      <c r="A181" s="275"/>
      <c r="B181" s="1"/>
      <c r="C181" s="1"/>
      <c r="D181" s="92">
        <f>2.33046+8.70039</f>
        <v>11.030850000000001</v>
      </c>
      <c r="E181" s="1" t="s">
        <v>89</v>
      </c>
      <c r="F181" s="93">
        <f t="shared" si="5"/>
        <v>11.030850000000001</v>
      </c>
      <c r="G181" s="1"/>
      <c r="H181" s="1"/>
      <c r="I181" s="128" t="s">
        <v>89</v>
      </c>
      <c r="J181" s="92">
        <v>9.6731499999999997</v>
      </c>
      <c r="K181" s="92">
        <v>1.3577900000000001</v>
      </c>
    </row>
    <row r="182" spans="1:11" ht="45" x14ac:dyDescent="0.25">
      <c r="A182" s="275"/>
      <c r="B182" s="1"/>
      <c r="C182" s="1"/>
      <c r="D182" s="92">
        <v>0.73028000000000004</v>
      </c>
      <c r="E182" s="15" t="s">
        <v>183</v>
      </c>
      <c r="F182" s="93">
        <f t="shared" si="5"/>
        <v>0.73028000000000004</v>
      </c>
      <c r="G182" s="1"/>
      <c r="H182" s="1"/>
      <c r="I182" s="127" t="s">
        <v>184</v>
      </c>
      <c r="J182" s="92">
        <v>0.73028000000000004</v>
      </c>
      <c r="K182" s="92">
        <v>0</v>
      </c>
    </row>
    <row r="183" spans="1:11" ht="45" x14ac:dyDescent="0.25">
      <c r="A183" s="275"/>
      <c r="B183" s="1"/>
      <c r="C183" s="1"/>
      <c r="D183" s="92">
        <v>2.4039999999999999</v>
      </c>
      <c r="E183" s="15" t="s">
        <v>185</v>
      </c>
      <c r="F183" s="94">
        <f t="shared" si="5"/>
        <v>2.4039999999999999</v>
      </c>
      <c r="G183" s="1"/>
      <c r="H183" s="1"/>
      <c r="I183" s="127" t="s">
        <v>185</v>
      </c>
      <c r="J183" s="92">
        <v>2.4039999999999999</v>
      </c>
      <c r="K183" s="92">
        <v>0</v>
      </c>
    </row>
    <row r="184" spans="1:11" ht="45" x14ac:dyDescent="0.25">
      <c r="A184" s="275"/>
      <c r="B184" s="1"/>
      <c r="C184" s="1"/>
      <c r="D184" s="92">
        <v>4.0868000000000002</v>
      </c>
      <c r="E184" s="15" t="s">
        <v>186</v>
      </c>
      <c r="F184" s="93">
        <f t="shared" si="5"/>
        <v>4.0868000000000002</v>
      </c>
      <c r="G184" s="1"/>
      <c r="H184" s="1"/>
      <c r="I184" s="127" t="s">
        <v>186</v>
      </c>
      <c r="J184" s="92">
        <v>2.99899</v>
      </c>
      <c r="K184" s="92">
        <v>1.0878099999999999</v>
      </c>
    </row>
    <row r="185" spans="1:11" ht="45" x14ac:dyDescent="0.25">
      <c r="A185" s="275"/>
      <c r="B185" s="1"/>
      <c r="C185" s="1"/>
      <c r="D185" s="92">
        <v>4.3272000000000004</v>
      </c>
      <c r="E185" s="15" t="s">
        <v>204</v>
      </c>
      <c r="F185" s="93">
        <f t="shared" si="5"/>
        <v>4.3272000000000004</v>
      </c>
      <c r="G185" s="1"/>
      <c r="H185" s="1"/>
      <c r="I185" s="127" t="s">
        <v>186</v>
      </c>
      <c r="J185" s="92">
        <v>1.3823000000000001</v>
      </c>
      <c r="K185" s="92">
        <v>2.9449000000000001</v>
      </c>
    </row>
    <row r="186" spans="1:11" ht="45" x14ac:dyDescent="0.25">
      <c r="A186" s="275"/>
      <c r="B186" s="1"/>
      <c r="C186" s="1"/>
      <c r="D186" s="92">
        <v>3.3054999999999999</v>
      </c>
      <c r="E186" s="15" t="s">
        <v>205</v>
      </c>
      <c r="F186" s="93">
        <f t="shared" si="5"/>
        <v>3.3054999999999999</v>
      </c>
      <c r="G186" s="1"/>
      <c r="H186" s="1"/>
      <c r="I186" s="127" t="s">
        <v>205</v>
      </c>
      <c r="J186" s="92">
        <v>3.3054999999999999</v>
      </c>
      <c r="K186" s="92">
        <v>0</v>
      </c>
    </row>
    <row r="187" spans="1:11" x14ac:dyDescent="0.25">
      <c r="A187" s="275"/>
      <c r="B187" s="1"/>
      <c r="C187" s="1"/>
      <c r="D187" s="92">
        <v>2.3210199999999999</v>
      </c>
      <c r="E187" s="15" t="s">
        <v>187</v>
      </c>
      <c r="F187" s="93">
        <v>2.3210199999999999</v>
      </c>
      <c r="G187" s="1"/>
      <c r="H187" s="1"/>
      <c r="I187" s="127" t="s">
        <v>187</v>
      </c>
      <c r="J187" s="92">
        <v>2.3210199999999999</v>
      </c>
      <c r="K187" s="92">
        <v>0</v>
      </c>
    </row>
    <row r="188" spans="1:11" x14ac:dyDescent="0.25">
      <c r="A188" s="275"/>
      <c r="B188" s="1"/>
      <c r="C188" s="1"/>
      <c r="D188" s="92">
        <v>1.7351300000000001</v>
      </c>
      <c r="E188" s="15" t="s">
        <v>188</v>
      </c>
      <c r="F188" s="93">
        <f t="shared" ref="F188:F194" si="6">D188</f>
        <v>1.7351300000000001</v>
      </c>
      <c r="G188" s="1"/>
      <c r="H188" s="1"/>
      <c r="I188" s="127" t="s">
        <v>188</v>
      </c>
      <c r="J188" s="92">
        <v>1.7351300000000001</v>
      </c>
      <c r="K188" s="92">
        <v>0</v>
      </c>
    </row>
    <row r="189" spans="1:11" x14ac:dyDescent="0.25">
      <c r="A189" s="275"/>
      <c r="B189" s="1"/>
      <c r="C189" s="1"/>
      <c r="D189" s="92">
        <f>0.8113+1.38886+0.13968</f>
        <v>2.3398399999999997</v>
      </c>
      <c r="E189" s="15" t="s">
        <v>91</v>
      </c>
      <c r="F189" s="93">
        <f t="shared" si="6"/>
        <v>2.3398399999999997</v>
      </c>
      <c r="G189" s="1"/>
      <c r="H189" s="1"/>
      <c r="I189" s="127" t="s">
        <v>91</v>
      </c>
      <c r="J189" s="92">
        <f>0.8113+1.38886+0.13968</f>
        <v>2.3398399999999997</v>
      </c>
      <c r="K189" s="92">
        <v>0</v>
      </c>
    </row>
    <row r="190" spans="1:11" ht="30" x14ac:dyDescent="0.25">
      <c r="A190" s="275"/>
      <c r="B190" s="1"/>
      <c r="C190" s="1"/>
      <c r="D190" s="92">
        <v>1.83538</v>
      </c>
      <c r="E190" s="15" t="s">
        <v>189</v>
      </c>
      <c r="F190" s="93">
        <f t="shared" si="6"/>
        <v>1.83538</v>
      </c>
      <c r="G190" s="1"/>
      <c r="H190" s="1"/>
      <c r="I190" s="127" t="s">
        <v>189</v>
      </c>
      <c r="J190" s="92">
        <v>0</v>
      </c>
      <c r="K190" s="92">
        <v>1.83538</v>
      </c>
    </row>
    <row r="191" spans="1:11" x14ac:dyDescent="0.25">
      <c r="A191" s="275"/>
      <c r="B191" s="1"/>
      <c r="C191" s="1"/>
      <c r="D191" s="92">
        <v>0.48992999999999998</v>
      </c>
      <c r="E191" s="15" t="s">
        <v>197</v>
      </c>
      <c r="F191" s="93">
        <f t="shared" si="6"/>
        <v>0.48992999999999998</v>
      </c>
      <c r="G191" s="1"/>
      <c r="H191" s="1"/>
      <c r="I191" s="127" t="s">
        <v>197</v>
      </c>
      <c r="J191" s="92">
        <v>0.48992999999999998</v>
      </c>
      <c r="K191" s="92">
        <v>0</v>
      </c>
    </row>
    <row r="192" spans="1:11" x14ac:dyDescent="0.25">
      <c r="A192" s="275"/>
      <c r="B192" s="1"/>
      <c r="C192" s="1"/>
      <c r="D192" s="92">
        <v>6.7630299999999997</v>
      </c>
      <c r="E192" s="15" t="s">
        <v>190</v>
      </c>
      <c r="F192" s="93">
        <f t="shared" si="6"/>
        <v>6.7630299999999997</v>
      </c>
      <c r="G192" s="1"/>
      <c r="H192" s="1"/>
      <c r="I192" s="127" t="s">
        <v>190</v>
      </c>
      <c r="J192" s="92">
        <v>6.7630299999999997</v>
      </c>
      <c r="K192" s="92">
        <v>0</v>
      </c>
    </row>
    <row r="193" spans="1:12" x14ac:dyDescent="0.25">
      <c r="A193" s="275"/>
      <c r="B193" s="1"/>
      <c r="C193" s="1"/>
      <c r="D193" s="92">
        <v>0.19155</v>
      </c>
      <c r="E193" s="15" t="s">
        <v>191</v>
      </c>
      <c r="F193" s="93">
        <f t="shared" si="6"/>
        <v>0.19155</v>
      </c>
      <c r="G193" s="1"/>
      <c r="H193" s="1"/>
      <c r="I193" s="127" t="s">
        <v>191</v>
      </c>
      <c r="J193" s="92">
        <v>0.16206999999999999</v>
      </c>
      <c r="K193" s="92">
        <v>2.9479999999999999E-2</v>
      </c>
    </row>
    <row r="194" spans="1:12" x14ac:dyDescent="0.25">
      <c r="A194" s="275"/>
      <c r="B194" s="1"/>
      <c r="C194" s="1"/>
      <c r="D194" s="92">
        <v>0.47499999999999998</v>
      </c>
      <c r="E194" s="15" t="s">
        <v>192</v>
      </c>
      <c r="F194" s="93">
        <f t="shared" si="6"/>
        <v>0.47499999999999998</v>
      </c>
      <c r="G194" s="1"/>
      <c r="H194" s="1"/>
      <c r="I194" s="127" t="s">
        <v>192</v>
      </c>
      <c r="J194" s="92">
        <v>0.33250000000000002</v>
      </c>
      <c r="K194" s="92">
        <v>0.14249999999999999</v>
      </c>
    </row>
    <row r="195" spans="1:12" x14ac:dyDescent="0.25">
      <c r="A195" s="275"/>
      <c r="B195" s="1"/>
      <c r="C195" s="1"/>
      <c r="D195" s="92">
        <v>0.68240000000000001</v>
      </c>
      <c r="E195" s="15" t="s">
        <v>193</v>
      </c>
      <c r="F195" s="93">
        <v>0.68240000000000001</v>
      </c>
      <c r="G195" s="1"/>
      <c r="H195" s="1"/>
      <c r="I195" s="127" t="s">
        <v>193</v>
      </c>
      <c r="J195" s="92">
        <v>0.68240000000000001</v>
      </c>
      <c r="K195" s="92">
        <v>0</v>
      </c>
    </row>
    <row r="196" spans="1:12" x14ac:dyDescent="0.25">
      <c r="A196" s="275"/>
      <c r="B196" s="1"/>
      <c r="C196" s="1"/>
      <c r="D196" s="92">
        <f>1.27459+0.79662</f>
        <v>2.0712099999999998</v>
      </c>
      <c r="E196" s="15" t="s">
        <v>194</v>
      </c>
      <c r="F196" s="93">
        <f t="shared" ref="F196:F233" si="7">D196</f>
        <v>2.0712099999999998</v>
      </c>
      <c r="G196" s="1"/>
      <c r="H196" s="1"/>
      <c r="I196" s="127" t="s">
        <v>194</v>
      </c>
      <c r="J196" s="92">
        <v>1.4976499999999999</v>
      </c>
      <c r="K196" s="92">
        <v>0.57355999999999996</v>
      </c>
    </row>
    <row r="197" spans="1:12" x14ac:dyDescent="0.25">
      <c r="A197" s="275"/>
      <c r="B197" s="1"/>
      <c r="C197" s="1"/>
      <c r="D197" s="92">
        <v>0.68240000000000001</v>
      </c>
      <c r="E197" s="15" t="s">
        <v>195</v>
      </c>
      <c r="F197" s="93">
        <f t="shared" si="7"/>
        <v>0.68240000000000001</v>
      </c>
      <c r="G197" s="1"/>
      <c r="H197" s="1"/>
      <c r="I197" s="127" t="s">
        <v>195</v>
      </c>
      <c r="J197" s="92">
        <v>0.68240000000000001</v>
      </c>
      <c r="K197" s="92">
        <v>0</v>
      </c>
    </row>
    <row r="198" spans="1:12" x14ac:dyDescent="0.25">
      <c r="A198" s="275"/>
      <c r="B198" s="1"/>
      <c r="C198" s="1"/>
      <c r="D198" s="92">
        <f>1.32134+1.32734</f>
        <v>2.6486799999999997</v>
      </c>
      <c r="E198" s="15" t="s">
        <v>196</v>
      </c>
      <c r="F198" s="93">
        <f t="shared" si="7"/>
        <v>2.6486799999999997</v>
      </c>
      <c r="G198" s="1"/>
      <c r="H198" s="1"/>
      <c r="I198" s="127" t="s">
        <v>196</v>
      </c>
      <c r="J198" s="92">
        <v>0.39639999999999997</v>
      </c>
      <c r="K198" s="92">
        <v>2.2522799999999998</v>
      </c>
    </row>
    <row r="199" spans="1:12" ht="30" x14ac:dyDescent="0.25">
      <c r="A199" s="275"/>
      <c r="B199" s="1"/>
      <c r="C199" s="1"/>
      <c r="D199" s="92">
        <v>0.22128</v>
      </c>
      <c r="E199" s="15" t="s">
        <v>198</v>
      </c>
      <c r="F199" s="93">
        <f t="shared" si="7"/>
        <v>0.22128</v>
      </c>
      <c r="G199" s="1"/>
      <c r="H199" s="1"/>
      <c r="I199" s="127" t="s">
        <v>198</v>
      </c>
      <c r="J199" s="92">
        <v>0.22128</v>
      </c>
      <c r="K199" s="92">
        <v>0</v>
      </c>
    </row>
    <row r="200" spans="1:12" x14ac:dyDescent="0.25">
      <c r="A200" s="275"/>
      <c r="B200" s="1"/>
      <c r="C200" s="1"/>
      <c r="D200" s="92">
        <f>0.09054+0.368+0.093+0.44156</f>
        <v>0.99310000000000009</v>
      </c>
      <c r="E200" s="15" t="s">
        <v>101</v>
      </c>
      <c r="F200" s="93">
        <f t="shared" si="7"/>
        <v>0.99310000000000009</v>
      </c>
      <c r="G200" s="1"/>
      <c r="H200" s="1"/>
      <c r="I200" s="127" t="s">
        <v>101</v>
      </c>
      <c r="J200" s="92">
        <v>0.87656000000000001</v>
      </c>
      <c r="K200" s="92">
        <v>0.11654</v>
      </c>
    </row>
    <row r="201" spans="1:12" x14ac:dyDescent="0.25">
      <c r="A201" s="275"/>
      <c r="B201" s="1"/>
      <c r="C201" s="1"/>
      <c r="D201" s="92">
        <f>0.549+1.396</f>
        <v>1.9449999999999998</v>
      </c>
      <c r="E201" s="15" t="s">
        <v>200</v>
      </c>
      <c r="F201" s="93">
        <f t="shared" si="7"/>
        <v>1.9449999999999998</v>
      </c>
      <c r="G201" s="1"/>
      <c r="H201" s="1"/>
      <c r="I201" s="127" t="s">
        <v>199</v>
      </c>
      <c r="J201" s="92">
        <v>1.43546</v>
      </c>
      <c r="K201" s="92">
        <v>0.50953999999999999</v>
      </c>
    </row>
    <row r="202" spans="1:12" x14ac:dyDescent="0.25">
      <c r="A202" s="275"/>
      <c r="B202" s="1"/>
      <c r="C202" s="1"/>
      <c r="D202" s="92">
        <f>0.4171+0.535+0.9416</f>
        <v>1.8936999999999999</v>
      </c>
      <c r="E202" s="15" t="s">
        <v>104</v>
      </c>
      <c r="F202" s="93">
        <f t="shared" si="7"/>
        <v>1.8936999999999999</v>
      </c>
      <c r="G202" s="1"/>
      <c r="H202" s="1"/>
      <c r="I202" s="127" t="s">
        <v>104</v>
      </c>
      <c r="J202" s="92">
        <v>1.3045599999999999</v>
      </c>
      <c r="K202" s="92">
        <v>0.58914</v>
      </c>
    </row>
    <row r="203" spans="1:12" x14ac:dyDescent="0.25">
      <c r="A203" s="275"/>
      <c r="B203" s="1"/>
      <c r="C203" s="1"/>
      <c r="D203" s="92">
        <v>1.7784</v>
      </c>
      <c r="E203" s="15" t="s">
        <v>201</v>
      </c>
      <c r="F203" s="93">
        <f t="shared" si="7"/>
        <v>1.7784</v>
      </c>
      <c r="G203" s="1"/>
      <c r="H203" s="1"/>
      <c r="I203" s="127" t="s">
        <v>201</v>
      </c>
      <c r="J203" s="92">
        <v>1.69746</v>
      </c>
      <c r="K203" s="92">
        <v>8.0939999999999998E-2</v>
      </c>
    </row>
    <row r="204" spans="1:12" x14ac:dyDescent="0.25">
      <c r="A204" s="275"/>
      <c r="B204" s="1"/>
      <c r="C204" s="1"/>
      <c r="D204" s="92">
        <f>0.21507+1.19928</f>
        <v>1.41435</v>
      </c>
      <c r="E204" s="15" t="s">
        <v>202</v>
      </c>
      <c r="F204" s="93">
        <f t="shared" si="7"/>
        <v>1.41435</v>
      </c>
      <c r="G204" s="1"/>
      <c r="H204" s="1"/>
      <c r="I204" s="127" t="s">
        <v>202</v>
      </c>
      <c r="J204" s="92">
        <f>0.21507+1.19928</f>
        <v>1.41435</v>
      </c>
      <c r="K204" s="92">
        <v>0</v>
      </c>
    </row>
    <row r="205" spans="1:12" x14ac:dyDescent="0.25">
      <c r="A205" s="275"/>
      <c r="B205" s="1"/>
      <c r="C205" s="1"/>
      <c r="D205" s="92">
        <v>0.15095</v>
      </c>
      <c r="E205" s="15" t="s">
        <v>203</v>
      </c>
      <c r="F205" s="93">
        <f t="shared" si="7"/>
        <v>0.15095</v>
      </c>
      <c r="G205" s="1"/>
      <c r="H205" s="1"/>
      <c r="I205" s="127" t="s">
        <v>203</v>
      </c>
      <c r="J205" s="92">
        <v>0.15095</v>
      </c>
      <c r="K205" s="92">
        <v>0</v>
      </c>
    </row>
    <row r="206" spans="1:12" ht="75" x14ac:dyDescent="0.3">
      <c r="A206" s="276" t="s">
        <v>14</v>
      </c>
      <c r="B206" s="52" t="s">
        <v>47</v>
      </c>
      <c r="C206" s="1"/>
      <c r="D206" s="92">
        <v>7.4779999999999999E-2</v>
      </c>
      <c r="E206" s="1" t="s">
        <v>149</v>
      </c>
      <c r="F206" s="106">
        <f t="shared" si="7"/>
        <v>7.4779999999999999E-2</v>
      </c>
      <c r="G206" s="1"/>
      <c r="H206" s="1"/>
      <c r="I206" s="1" t="s">
        <v>149</v>
      </c>
      <c r="J206" s="92">
        <v>2.2440000000000002E-2</v>
      </c>
      <c r="K206" s="150">
        <v>5.2339999999999998E-2</v>
      </c>
      <c r="L206" s="38"/>
    </row>
    <row r="207" spans="1:12" x14ac:dyDescent="0.25">
      <c r="A207" s="276"/>
      <c r="B207" s="1"/>
      <c r="C207" s="1"/>
      <c r="D207" s="92">
        <f>1.1484+0.3144</f>
        <v>1.4628000000000001</v>
      </c>
      <c r="E207" s="1" t="s">
        <v>56</v>
      </c>
      <c r="F207" s="106">
        <f t="shared" si="7"/>
        <v>1.4628000000000001</v>
      </c>
      <c r="G207" s="1"/>
      <c r="H207" s="1"/>
      <c r="I207" s="1" t="s">
        <v>56</v>
      </c>
      <c r="J207" s="151">
        <f>0.59334+0.3144</f>
        <v>0.90773999999999999</v>
      </c>
      <c r="K207" s="150">
        <v>0.55525999999999998</v>
      </c>
      <c r="L207" s="38"/>
    </row>
    <row r="208" spans="1:12" ht="30" x14ac:dyDescent="0.25">
      <c r="A208" s="276"/>
      <c r="B208" s="1"/>
      <c r="C208" s="1"/>
      <c r="D208" s="92">
        <v>0.13919999999999999</v>
      </c>
      <c r="E208" s="15" t="s">
        <v>306</v>
      </c>
      <c r="F208" s="106">
        <f t="shared" si="7"/>
        <v>0.13919999999999999</v>
      </c>
      <c r="G208" s="1"/>
      <c r="H208" s="1"/>
      <c r="I208" s="15" t="s">
        <v>306</v>
      </c>
      <c r="J208" s="92">
        <v>0.13919999999999999</v>
      </c>
      <c r="K208" s="150">
        <v>0</v>
      </c>
      <c r="L208" s="38"/>
    </row>
    <row r="209" spans="1:12" x14ac:dyDescent="0.25">
      <c r="A209" s="276"/>
      <c r="B209" s="1"/>
      <c r="C209" s="1"/>
      <c r="D209" s="92">
        <v>0.64249999999999996</v>
      </c>
      <c r="E209" s="1" t="s">
        <v>307</v>
      </c>
      <c r="F209" s="106">
        <f t="shared" si="7"/>
        <v>0.64249999999999996</v>
      </c>
      <c r="G209" s="1"/>
      <c r="H209" s="1"/>
      <c r="I209" s="1" t="s">
        <v>307</v>
      </c>
      <c r="J209" s="92">
        <v>0.64249999999999996</v>
      </c>
      <c r="K209" s="150">
        <v>0</v>
      </c>
      <c r="L209" s="38"/>
    </row>
    <row r="210" spans="1:12" x14ac:dyDescent="0.25">
      <c r="A210" s="276"/>
      <c r="B210" s="1"/>
      <c r="C210" s="1"/>
      <c r="D210" s="92">
        <v>6.1800000000000001E-2</v>
      </c>
      <c r="E210" s="1" t="s">
        <v>310</v>
      </c>
      <c r="F210" s="106">
        <f t="shared" si="7"/>
        <v>6.1800000000000001E-2</v>
      </c>
      <c r="G210" s="1"/>
      <c r="H210" s="1"/>
      <c r="I210" s="1" t="s">
        <v>310</v>
      </c>
      <c r="J210" s="150">
        <v>6.1799999999999997E-3</v>
      </c>
      <c r="K210" s="150">
        <v>5.568E-2</v>
      </c>
      <c r="L210" s="38"/>
    </row>
    <row r="211" spans="1:12" x14ac:dyDescent="0.25">
      <c r="A211" s="276"/>
      <c r="B211" s="1"/>
      <c r="C211" s="1"/>
      <c r="D211" s="92">
        <v>0.14829999999999999</v>
      </c>
      <c r="E211" s="1" t="s">
        <v>213</v>
      </c>
      <c r="F211" s="106">
        <f t="shared" si="7"/>
        <v>0.14829999999999999</v>
      </c>
      <c r="G211" s="1"/>
      <c r="H211" s="1"/>
      <c r="I211" s="1" t="s">
        <v>213</v>
      </c>
      <c r="J211" s="92">
        <v>0.14829999999999999</v>
      </c>
      <c r="K211" s="150">
        <v>0</v>
      </c>
      <c r="L211" s="38"/>
    </row>
    <row r="212" spans="1:12" x14ac:dyDescent="0.25">
      <c r="A212" s="276"/>
      <c r="B212" s="1"/>
      <c r="C212" s="1"/>
      <c r="D212" s="92">
        <v>0.49434</v>
      </c>
      <c r="E212" s="1" t="s">
        <v>311</v>
      </c>
      <c r="F212" s="106">
        <f t="shared" si="7"/>
        <v>0.49434</v>
      </c>
      <c r="G212" s="1"/>
      <c r="H212" s="1"/>
      <c r="I212" s="1" t="s">
        <v>311</v>
      </c>
      <c r="J212" s="150">
        <v>0.14829999999999999</v>
      </c>
      <c r="K212" s="150">
        <v>0.34604000000000001</v>
      </c>
      <c r="L212" s="38"/>
    </row>
    <row r="213" spans="1:12" ht="30" x14ac:dyDescent="0.25">
      <c r="A213" s="276"/>
      <c r="B213" s="1"/>
      <c r="C213" s="1"/>
      <c r="D213" s="92">
        <v>0.49434</v>
      </c>
      <c r="E213" s="15" t="s">
        <v>312</v>
      </c>
      <c r="F213" s="106">
        <f t="shared" si="7"/>
        <v>0.49434</v>
      </c>
      <c r="G213" s="1"/>
      <c r="H213" s="1"/>
      <c r="I213" s="15" t="s">
        <v>312</v>
      </c>
      <c r="J213" s="92">
        <v>0.49434</v>
      </c>
      <c r="K213" s="150">
        <v>0</v>
      </c>
      <c r="L213" s="38"/>
    </row>
    <row r="214" spans="1:12" x14ac:dyDescent="0.25">
      <c r="A214" s="276"/>
      <c r="B214" s="1"/>
      <c r="C214" s="1"/>
      <c r="D214" s="92">
        <v>1.55535</v>
      </c>
      <c r="E214" s="1" t="s">
        <v>159</v>
      </c>
      <c r="F214" s="106">
        <f t="shared" si="7"/>
        <v>1.55535</v>
      </c>
      <c r="G214" s="1"/>
      <c r="H214" s="1"/>
      <c r="I214" s="1" t="s">
        <v>159</v>
      </c>
      <c r="J214" s="92">
        <v>1.55535</v>
      </c>
      <c r="K214" s="150">
        <v>0</v>
      </c>
      <c r="L214" s="38"/>
    </row>
    <row r="215" spans="1:12" x14ac:dyDescent="0.25">
      <c r="A215" s="276"/>
      <c r="B215" s="1"/>
      <c r="C215" s="1"/>
      <c r="D215" s="92">
        <v>2.8400000000000002E-2</v>
      </c>
      <c r="E215" s="1" t="s">
        <v>61</v>
      </c>
      <c r="F215" s="106">
        <f t="shared" si="7"/>
        <v>2.8400000000000002E-2</v>
      </c>
      <c r="G215" s="1"/>
      <c r="H215" s="1"/>
      <c r="I215" s="1" t="s">
        <v>61</v>
      </c>
      <c r="J215" s="150">
        <v>1.4200000000000001E-2</v>
      </c>
      <c r="K215" s="150">
        <v>1.4200000000000001E-2</v>
      </c>
      <c r="L215" s="38"/>
    </row>
    <row r="216" spans="1:12" x14ac:dyDescent="0.25">
      <c r="A216" s="276"/>
      <c r="B216" s="1"/>
      <c r="C216" s="1"/>
      <c r="D216" s="92">
        <f>4.8716+9.87482</f>
        <v>14.746420000000001</v>
      </c>
      <c r="E216" s="1" t="s">
        <v>160</v>
      </c>
      <c r="F216" s="106">
        <f t="shared" si="7"/>
        <v>14.746420000000001</v>
      </c>
      <c r="G216" s="1"/>
      <c r="H216" s="1"/>
      <c r="I216" s="1" t="s">
        <v>160</v>
      </c>
      <c r="J216" s="92">
        <f>4.8716+8.3936</f>
        <v>13.2652</v>
      </c>
      <c r="K216" s="92">
        <f>1.48122</f>
        <v>1.48122</v>
      </c>
      <c r="L216" s="38"/>
    </row>
    <row r="217" spans="1:12" x14ac:dyDescent="0.25">
      <c r="A217" s="276"/>
      <c r="B217" s="1"/>
      <c r="C217" s="1"/>
      <c r="D217" s="92">
        <f>0.01485+0.01926</f>
        <v>3.4110000000000001E-2</v>
      </c>
      <c r="E217" s="1" t="s">
        <v>62</v>
      </c>
      <c r="F217" s="106">
        <f t="shared" si="7"/>
        <v>3.4110000000000001E-2</v>
      </c>
      <c r="G217" s="1"/>
      <c r="H217" s="1"/>
      <c r="I217" s="1" t="s">
        <v>62</v>
      </c>
      <c r="J217" s="92">
        <v>1.485E-2</v>
      </c>
      <c r="K217" s="150">
        <f>0+0.01926</f>
        <v>1.9259999999999999E-2</v>
      </c>
      <c r="L217" s="38"/>
    </row>
    <row r="218" spans="1:12" x14ac:dyDescent="0.25">
      <c r="A218" s="276"/>
      <c r="B218" s="1"/>
      <c r="C218" s="1"/>
      <c r="D218" s="92">
        <f>1.58535</f>
        <v>1.58535</v>
      </c>
      <c r="E218" s="1" t="s">
        <v>313</v>
      </c>
      <c r="F218" s="106">
        <f t="shared" si="7"/>
        <v>1.58535</v>
      </c>
      <c r="G218" s="1"/>
      <c r="H218" s="1"/>
      <c r="I218" s="1" t="s">
        <v>313</v>
      </c>
      <c r="J218" s="92">
        <v>0</v>
      </c>
      <c r="K218" s="92">
        <f>1.58535</f>
        <v>1.58535</v>
      </c>
      <c r="L218" s="38"/>
    </row>
    <row r="219" spans="1:12" x14ac:dyDescent="0.25">
      <c r="A219" s="276"/>
      <c r="B219" s="1"/>
      <c r="C219" s="1"/>
      <c r="D219" s="92">
        <f>0.34085+0.33143+0.33149+0.33922</f>
        <v>1.3429900000000001</v>
      </c>
      <c r="E219" s="1" t="s">
        <v>63</v>
      </c>
      <c r="F219" s="106">
        <f t="shared" si="7"/>
        <v>1.3429900000000001</v>
      </c>
      <c r="G219" s="1"/>
      <c r="H219" s="1"/>
      <c r="I219" s="1" t="s">
        <v>63</v>
      </c>
      <c r="J219" s="150">
        <f>0.13634+0.33922</f>
        <v>0.47555999999999998</v>
      </c>
      <c r="K219" s="150">
        <f>0.20451+0.33143+0.33149</f>
        <v>0.86742999999999992</v>
      </c>
      <c r="L219" s="38"/>
    </row>
    <row r="220" spans="1:12" x14ac:dyDescent="0.25">
      <c r="A220" s="276"/>
      <c r="B220" s="1"/>
      <c r="C220" s="1"/>
      <c r="D220" s="92">
        <v>0.13134999999999999</v>
      </c>
      <c r="E220" s="1" t="s">
        <v>64</v>
      </c>
      <c r="F220" s="106">
        <f t="shared" si="7"/>
        <v>0.13134999999999999</v>
      </c>
      <c r="G220" s="1"/>
      <c r="H220" s="1"/>
      <c r="I220" s="1" t="s">
        <v>64</v>
      </c>
      <c r="J220" s="150">
        <v>5.2540000000000003E-2</v>
      </c>
      <c r="K220" s="150">
        <v>7.8810000000000005E-2</v>
      </c>
      <c r="L220" s="38"/>
    </row>
    <row r="221" spans="1:12" x14ac:dyDescent="0.25">
      <c r="A221" s="276"/>
      <c r="B221" s="1"/>
      <c r="C221" s="1"/>
      <c r="D221" s="92">
        <v>0.4425</v>
      </c>
      <c r="E221" s="1" t="s">
        <v>317</v>
      </c>
      <c r="F221" s="106">
        <f t="shared" si="7"/>
        <v>0.4425</v>
      </c>
      <c r="G221" s="1"/>
      <c r="H221" s="1"/>
      <c r="I221" s="1" t="s">
        <v>317</v>
      </c>
      <c r="J221" s="150">
        <v>6.1949999999999998E-2</v>
      </c>
      <c r="K221" s="150">
        <v>0.38055</v>
      </c>
      <c r="L221" s="38"/>
    </row>
    <row r="222" spans="1:12" x14ac:dyDescent="0.25">
      <c r="A222" s="276"/>
      <c r="B222" s="1"/>
      <c r="C222" s="1"/>
      <c r="D222" s="92">
        <v>0.88500000000000001</v>
      </c>
      <c r="E222" s="1" t="s">
        <v>318</v>
      </c>
      <c r="F222" s="106">
        <f t="shared" si="7"/>
        <v>0.88500000000000001</v>
      </c>
      <c r="G222" s="1"/>
      <c r="H222" s="1"/>
      <c r="I222" s="1" t="s">
        <v>318</v>
      </c>
      <c r="J222" s="92">
        <v>0.88500000000000001</v>
      </c>
      <c r="K222" s="150">
        <v>0</v>
      </c>
      <c r="L222" s="38"/>
    </row>
    <row r="223" spans="1:12" x14ac:dyDescent="0.25">
      <c r="A223" s="276"/>
      <c r="B223" s="1"/>
      <c r="C223" s="1"/>
      <c r="D223" s="92">
        <f>1.13075+0.60307+0.6345+0.6346</f>
        <v>3.0029199999999996</v>
      </c>
      <c r="E223" s="1" t="s">
        <v>218</v>
      </c>
      <c r="F223" s="106">
        <f t="shared" si="7"/>
        <v>3.0029199999999996</v>
      </c>
      <c r="G223" s="1"/>
      <c r="H223" s="1"/>
      <c r="I223" s="1" t="s">
        <v>218</v>
      </c>
      <c r="J223" s="92">
        <f>1.13075+0.60307+0.5076</f>
        <v>2.2414199999999997</v>
      </c>
      <c r="K223" s="150">
        <f>0.1269+0.6346</f>
        <v>0.76150000000000007</v>
      </c>
      <c r="L223" s="38"/>
    </row>
    <row r="224" spans="1:12" x14ac:dyDescent="0.25">
      <c r="A224" s="276"/>
      <c r="B224" s="1"/>
      <c r="C224" s="1"/>
      <c r="D224" s="92">
        <v>1.3662000000000001</v>
      </c>
      <c r="E224" s="1" t="s">
        <v>320</v>
      </c>
      <c r="F224" s="106">
        <f t="shared" si="7"/>
        <v>1.3662000000000001</v>
      </c>
      <c r="G224" s="1"/>
      <c r="H224" s="1"/>
      <c r="I224" s="1" t="s">
        <v>320</v>
      </c>
      <c r="J224" s="150">
        <v>0.27323999999999998</v>
      </c>
      <c r="K224" s="150">
        <v>1.0929599999999999</v>
      </c>
      <c r="L224" s="38"/>
    </row>
    <row r="225" spans="1:12" x14ac:dyDescent="0.25">
      <c r="A225" s="276"/>
      <c r="B225" s="1"/>
      <c r="C225" s="1"/>
      <c r="D225" s="92">
        <v>3.2765599999999999</v>
      </c>
      <c r="E225" s="1" t="s">
        <v>322</v>
      </c>
      <c r="F225" s="106">
        <f t="shared" si="7"/>
        <v>3.2765599999999999</v>
      </c>
      <c r="G225" s="1"/>
      <c r="H225" s="1"/>
      <c r="I225" s="1" t="s">
        <v>322</v>
      </c>
      <c r="J225" s="92">
        <v>3.2765599999999999</v>
      </c>
      <c r="K225" s="150">
        <v>0</v>
      </c>
      <c r="L225" s="38"/>
    </row>
    <row r="226" spans="1:12" x14ac:dyDescent="0.25">
      <c r="A226" s="276"/>
      <c r="B226" s="1"/>
      <c r="C226" s="1"/>
      <c r="D226" s="92">
        <v>0.1128</v>
      </c>
      <c r="E226" s="1" t="s">
        <v>323</v>
      </c>
      <c r="F226" s="106">
        <f t="shared" si="7"/>
        <v>0.1128</v>
      </c>
      <c r="G226" s="1"/>
      <c r="H226" s="1"/>
      <c r="I226" s="1" t="s">
        <v>323</v>
      </c>
      <c r="J226" s="150">
        <v>3.3840000000000002E-2</v>
      </c>
      <c r="K226" s="150">
        <v>7.8960000000000002E-2</v>
      </c>
      <c r="L226" s="38"/>
    </row>
    <row r="227" spans="1:12" x14ac:dyDescent="0.25">
      <c r="A227" s="276"/>
      <c r="B227" s="1"/>
      <c r="C227" s="1"/>
      <c r="D227" s="92">
        <f>0.3212+0.1204</f>
        <v>0.44159999999999999</v>
      </c>
      <c r="E227" s="1" t="s">
        <v>324</v>
      </c>
      <c r="F227" s="106">
        <f t="shared" si="7"/>
        <v>0.44159999999999999</v>
      </c>
      <c r="G227" s="1"/>
      <c r="H227" s="1"/>
      <c r="I227" s="1" t="s">
        <v>324</v>
      </c>
      <c r="J227" s="92">
        <f>0.3212+0.1204</f>
        <v>0.44159999999999999</v>
      </c>
      <c r="K227" s="150">
        <v>0</v>
      </c>
      <c r="L227" s="38"/>
    </row>
    <row r="228" spans="1:12" ht="30" x14ac:dyDescent="0.25">
      <c r="A228" s="276"/>
      <c r="B228" s="1"/>
      <c r="C228" s="1"/>
      <c r="D228" s="92">
        <v>0.14595</v>
      </c>
      <c r="E228" s="15" t="s">
        <v>325</v>
      </c>
      <c r="F228" s="106">
        <f t="shared" si="7"/>
        <v>0.14595</v>
      </c>
      <c r="G228" s="1"/>
      <c r="H228" s="1"/>
      <c r="I228" s="15" t="s">
        <v>325</v>
      </c>
      <c r="J228" s="92">
        <v>0.14595</v>
      </c>
      <c r="K228" s="150">
        <v>0</v>
      </c>
      <c r="L228" s="38"/>
    </row>
    <row r="229" spans="1:12" x14ac:dyDescent="0.25">
      <c r="A229" s="276"/>
      <c r="B229" s="1"/>
      <c r="C229" s="1"/>
      <c r="D229" s="92">
        <f>0.84+0.091</f>
        <v>0.93099999999999994</v>
      </c>
      <c r="E229" s="1" t="s">
        <v>70</v>
      </c>
      <c r="F229" s="106">
        <f t="shared" si="7"/>
        <v>0.93099999999999994</v>
      </c>
      <c r="G229" s="1"/>
      <c r="H229" s="1"/>
      <c r="I229" s="1" t="s">
        <v>70</v>
      </c>
      <c r="J229" s="92">
        <v>0.82235999999999998</v>
      </c>
      <c r="K229" s="150">
        <f>0.01764+0.091</f>
        <v>0.10864</v>
      </c>
      <c r="L229" s="38"/>
    </row>
    <row r="230" spans="1:12" ht="30" x14ac:dyDescent="0.25">
      <c r="A230" s="276"/>
      <c r="B230" s="1"/>
      <c r="C230" s="1"/>
      <c r="D230" s="92">
        <v>1.7569999999999999</v>
      </c>
      <c r="E230" s="15" t="s">
        <v>327</v>
      </c>
      <c r="F230" s="105">
        <f t="shared" si="7"/>
        <v>1.7569999999999999</v>
      </c>
      <c r="G230" s="1"/>
      <c r="H230" s="1"/>
      <c r="I230" s="15" t="s">
        <v>327</v>
      </c>
      <c r="J230" s="92">
        <v>0</v>
      </c>
      <c r="K230" s="92">
        <v>1.7569999999999999</v>
      </c>
    </row>
    <row r="231" spans="1:12" x14ac:dyDescent="0.25">
      <c r="A231" s="274"/>
      <c r="B231" s="1"/>
      <c r="C231" s="1"/>
      <c r="D231" s="92">
        <v>0.72467999999999999</v>
      </c>
      <c r="E231" s="15" t="s">
        <v>283</v>
      </c>
      <c r="F231" s="105">
        <f t="shared" si="7"/>
        <v>0.72467999999999999</v>
      </c>
      <c r="G231" s="1"/>
      <c r="H231" s="1"/>
      <c r="I231" s="15" t="s">
        <v>283</v>
      </c>
      <c r="J231" s="92">
        <v>0.72467999999999999</v>
      </c>
      <c r="K231" s="92">
        <v>0</v>
      </c>
    </row>
    <row r="232" spans="1:12" x14ac:dyDescent="0.25">
      <c r="A232" s="274"/>
      <c r="B232" s="1"/>
      <c r="C232" s="1"/>
      <c r="D232" s="92">
        <v>0.64983000000000002</v>
      </c>
      <c r="E232" s="15" t="s">
        <v>330</v>
      </c>
      <c r="F232" s="105">
        <f t="shared" si="7"/>
        <v>0.64983000000000002</v>
      </c>
      <c r="G232" s="1"/>
      <c r="H232" s="1"/>
      <c r="I232" s="15" t="s">
        <v>330</v>
      </c>
      <c r="J232" s="92">
        <v>0.64983000000000002</v>
      </c>
      <c r="K232" s="92">
        <v>0</v>
      </c>
    </row>
    <row r="233" spans="1:12" x14ac:dyDescent="0.25">
      <c r="A233" s="274"/>
      <c r="B233" s="1"/>
      <c r="C233" s="1"/>
      <c r="D233" s="92">
        <f>15.46536</f>
        <v>15.46536</v>
      </c>
      <c r="E233" s="15" t="s">
        <v>77</v>
      </c>
      <c r="F233" s="105">
        <f t="shared" si="7"/>
        <v>15.46536</v>
      </c>
      <c r="G233" s="1"/>
      <c r="H233" s="1"/>
      <c r="I233" s="15" t="s">
        <v>77</v>
      </c>
      <c r="J233" s="92">
        <v>10.532550000000001</v>
      </c>
      <c r="K233" s="92">
        <v>4.9328099999999999</v>
      </c>
    </row>
    <row r="234" spans="1:12" x14ac:dyDescent="0.25">
      <c r="A234" s="274"/>
      <c r="B234" s="1"/>
      <c r="C234" s="1"/>
      <c r="D234" s="92">
        <v>7.0620000000000002E-2</v>
      </c>
      <c r="E234" s="15" t="s">
        <v>78</v>
      </c>
      <c r="F234" s="152">
        <v>7.0620000000000002E-2</v>
      </c>
      <c r="G234" s="1"/>
      <c r="H234" s="1"/>
      <c r="I234" s="15" t="s">
        <v>78</v>
      </c>
      <c r="J234" s="92">
        <v>7.0620000000000002E-2</v>
      </c>
      <c r="K234" s="92">
        <v>0</v>
      </c>
    </row>
    <row r="235" spans="1:12" ht="30" x14ac:dyDescent="0.25">
      <c r="A235" s="274"/>
      <c r="B235" s="1"/>
      <c r="C235" s="1"/>
      <c r="D235" s="92">
        <f>0.28505+0.1399</f>
        <v>0.42495000000000005</v>
      </c>
      <c r="E235" s="15" t="s">
        <v>331</v>
      </c>
      <c r="F235" s="152">
        <f t="shared" ref="F235:F275" si="8">D235</f>
        <v>0.42495000000000005</v>
      </c>
      <c r="G235" s="1"/>
      <c r="H235" s="1"/>
      <c r="I235" s="15" t="s">
        <v>331</v>
      </c>
      <c r="J235" s="92">
        <f>0.18687+0.1399</f>
        <v>0.32677</v>
      </c>
      <c r="K235" s="92">
        <v>9.8000000000000004E-2</v>
      </c>
    </row>
    <row r="236" spans="1:12" ht="30" x14ac:dyDescent="0.25">
      <c r="A236" s="274"/>
      <c r="B236" s="1"/>
      <c r="C236" s="1"/>
      <c r="D236" s="92">
        <v>0.17380000000000001</v>
      </c>
      <c r="E236" s="15" t="s">
        <v>122</v>
      </c>
      <c r="F236" s="152">
        <f t="shared" si="8"/>
        <v>0.17380000000000001</v>
      </c>
      <c r="G236" s="1"/>
      <c r="H236" s="1"/>
      <c r="I236" s="15" t="s">
        <v>122</v>
      </c>
      <c r="J236" s="92">
        <v>0</v>
      </c>
      <c r="K236" s="92">
        <v>0.17380000000000001</v>
      </c>
    </row>
    <row r="237" spans="1:12" x14ac:dyDescent="0.25">
      <c r="A237" s="274"/>
      <c r="B237" s="1"/>
      <c r="C237" s="1"/>
      <c r="D237" s="92">
        <v>1.58189</v>
      </c>
      <c r="E237" s="15" t="s">
        <v>333</v>
      </c>
      <c r="F237" s="152">
        <f t="shared" si="8"/>
        <v>1.58189</v>
      </c>
      <c r="G237" s="1"/>
      <c r="H237" s="1"/>
      <c r="I237" s="15" t="s">
        <v>333</v>
      </c>
      <c r="J237" s="92">
        <v>1.58189</v>
      </c>
      <c r="K237" s="92">
        <v>0</v>
      </c>
    </row>
    <row r="238" spans="1:12" x14ac:dyDescent="0.25">
      <c r="A238" s="274"/>
      <c r="B238" s="1"/>
      <c r="C238" s="1"/>
      <c r="D238" s="92">
        <f>1.58189+2.64825</f>
        <v>4.2301400000000005</v>
      </c>
      <c r="E238" s="15" t="s">
        <v>89</v>
      </c>
      <c r="F238" s="152">
        <f t="shared" si="8"/>
        <v>4.2301400000000005</v>
      </c>
      <c r="G238" s="1"/>
      <c r="H238" s="1"/>
      <c r="I238" s="15" t="s">
        <v>89</v>
      </c>
      <c r="J238" s="92">
        <f>1.58189+2.354</f>
        <v>3.9358900000000001</v>
      </c>
      <c r="K238" s="92">
        <v>0.29399999999999998</v>
      </c>
    </row>
    <row r="239" spans="1:12" ht="30" x14ac:dyDescent="0.25">
      <c r="A239" s="274"/>
      <c r="B239" s="1"/>
      <c r="C239" s="1"/>
      <c r="D239" s="92">
        <v>16.827999999999999</v>
      </c>
      <c r="E239" s="15" t="s">
        <v>336</v>
      </c>
      <c r="F239" s="152">
        <f t="shared" si="8"/>
        <v>16.827999999999999</v>
      </c>
      <c r="G239" s="1"/>
      <c r="H239" s="1"/>
      <c r="I239" s="15" t="s">
        <v>336</v>
      </c>
      <c r="J239" s="92">
        <f>3.3055+3.9065+3.005+3.606+2.404</f>
        <v>16.226999999999997</v>
      </c>
      <c r="K239" s="92">
        <v>0.60099999999999998</v>
      </c>
    </row>
    <row r="240" spans="1:12" x14ac:dyDescent="0.25">
      <c r="A240" s="274"/>
      <c r="B240" s="1"/>
      <c r="C240" s="1"/>
      <c r="D240" s="92">
        <v>2.4762300000000002</v>
      </c>
      <c r="E240" s="15" t="s">
        <v>338</v>
      </c>
      <c r="F240" s="105">
        <f t="shared" si="8"/>
        <v>2.4762300000000002</v>
      </c>
      <c r="G240" s="1"/>
      <c r="H240" s="1"/>
      <c r="I240" s="15" t="s">
        <v>338</v>
      </c>
      <c r="J240" s="92">
        <v>2.4266999999999999</v>
      </c>
      <c r="K240" s="92">
        <v>4.9529999999999998E-2</v>
      </c>
    </row>
    <row r="241" spans="1:11" x14ac:dyDescent="0.25">
      <c r="A241" s="274"/>
      <c r="B241" s="1"/>
      <c r="C241" s="1"/>
      <c r="D241" s="92">
        <v>0.45073000000000002</v>
      </c>
      <c r="E241" s="15" t="s">
        <v>94</v>
      </c>
      <c r="F241" s="105">
        <f t="shared" si="8"/>
        <v>0.45073000000000002</v>
      </c>
      <c r="G241" s="1"/>
      <c r="H241" s="1"/>
      <c r="I241" s="15" t="s">
        <v>94</v>
      </c>
      <c r="J241" s="92">
        <v>0.45073000000000002</v>
      </c>
      <c r="K241" s="92">
        <v>0</v>
      </c>
    </row>
    <row r="242" spans="1:11" x14ac:dyDescent="0.25">
      <c r="A242" s="274"/>
      <c r="B242" s="1"/>
      <c r="C242" s="1"/>
      <c r="D242" s="92">
        <f>4.02973</f>
        <v>4.0297299999999998</v>
      </c>
      <c r="E242" s="15" t="s">
        <v>96</v>
      </c>
      <c r="F242" s="105">
        <f t="shared" si="8"/>
        <v>4.0297299999999998</v>
      </c>
      <c r="G242" s="1"/>
      <c r="H242" s="1"/>
      <c r="I242" s="15" t="s">
        <v>96</v>
      </c>
      <c r="J242" s="92">
        <f>4.02973</f>
        <v>4.0297299999999998</v>
      </c>
      <c r="K242" s="92">
        <v>0</v>
      </c>
    </row>
    <row r="243" spans="1:11" x14ac:dyDescent="0.25">
      <c r="A243" s="274"/>
      <c r="B243" s="1"/>
      <c r="C243" s="1"/>
      <c r="D243" s="92">
        <v>8.8410000000000002E-2</v>
      </c>
      <c r="E243" s="15" t="s">
        <v>191</v>
      </c>
      <c r="F243" s="105">
        <f t="shared" si="8"/>
        <v>8.8410000000000002E-2</v>
      </c>
      <c r="G243" s="1"/>
      <c r="H243" s="1"/>
      <c r="I243" s="15" t="s">
        <v>191</v>
      </c>
      <c r="J243" s="92">
        <v>8.8410000000000002E-2</v>
      </c>
      <c r="K243" s="92">
        <v>0</v>
      </c>
    </row>
    <row r="244" spans="1:11" x14ac:dyDescent="0.25">
      <c r="A244" s="274"/>
      <c r="B244" s="1"/>
      <c r="C244" s="1"/>
      <c r="D244" s="92">
        <v>0.23749999999999999</v>
      </c>
      <c r="E244" s="15" t="s">
        <v>192</v>
      </c>
      <c r="F244" s="105">
        <f t="shared" si="8"/>
        <v>0.23749999999999999</v>
      </c>
      <c r="G244" s="1"/>
      <c r="H244" s="1"/>
      <c r="I244" s="15" t="s">
        <v>192</v>
      </c>
      <c r="J244" s="92">
        <v>0.23749999999999999</v>
      </c>
      <c r="K244" s="92">
        <v>0</v>
      </c>
    </row>
    <row r="245" spans="1:11" x14ac:dyDescent="0.25">
      <c r="A245" s="274"/>
      <c r="B245" s="1"/>
      <c r="C245" s="1"/>
      <c r="D245" s="92">
        <v>3.0257000000000001</v>
      </c>
      <c r="E245" s="15" t="s">
        <v>194</v>
      </c>
      <c r="F245" s="105">
        <f t="shared" si="8"/>
        <v>3.0257000000000001</v>
      </c>
      <c r="G245" s="1"/>
      <c r="H245" s="1"/>
      <c r="I245" s="15" t="s">
        <v>194</v>
      </c>
      <c r="J245" s="92">
        <v>2.5824400000000001</v>
      </c>
      <c r="K245" s="92">
        <f>0.44356</f>
        <v>0.44356000000000001</v>
      </c>
    </row>
    <row r="246" spans="1:11" x14ac:dyDescent="0.25">
      <c r="A246" s="274"/>
      <c r="B246" s="1"/>
      <c r="C246" s="1"/>
      <c r="D246" s="92">
        <v>0.67795000000000005</v>
      </c>
      <c r="E246" s="15" t="s">
        <v>339</v>
      </c>
      <c r="F246" s="41">
        <f t="shared" si="8"/>
        <v>0.67795000000000005</v>
      </c>
      <c r="G246" s="1"/>
      <c r="H246" s="1"/>
      <c r="I246" s="15" t="s">
        <v>339</v>
      </c>
      <c r="J246" s="92">
        <f>0.39548</f>
        <v>0.39548</v>
      </c>
      <c r="K246" s="92">
        <v>0.28247</v>
      </c>
    </row>
    <row r="247" spans="1:11" x14ac:dyDescent="0.25">
      <c r="A247" s="274"/>
      <c r="B247" s="1"/>
      <c r="C247" s="1"/>
      <c r="D247" s="92">
        <f>0.11039+0.88312</f>
        <v>0.99351</v>
      </c>
      <c r="E247" s="15" t="s">
        <v>101</v>
      </c>
      <c r="F247" s="41">
        <f t="shared" si="8"/>
        <v>0.99351</v>
      </c>
      <c r="G247" s="1"/>
      <c r="H247" s="1"/>
      <c r="I247" s="15" t="s">
        <v>101</v>
      </c>
      <c r="J247" s="92">
        <f>0.00552+0.78377</f>
        <v>0.78928999999999994</v>
      </c>
      <c r="K247" s="92">
        <f>0.10487+0.09935</f>
        <v>0.20422000000000001</v>
      </c>
    </row>
    <row r="248" spans="1:11" x14ac:dyDescent="0.25">
      <c r="A248" s="274"/>
      <c r="B248" s="1"/>
      <c r="C248" s="1"/>
      <c r="D248" s="92">
        <v>3.0489999999999999</v>
      </c>
      <c r="E248" s="15" t="s">
        <v>199</v>
      </c>
      <c r="F248" s="41">
        <f t="shared" si="8"/>
        <v>3.0489999999999999</v>
      </c>
      <c r="G248" s="1"/>
      <c r="H248" s="1"/>
      <c r="I248" s="15" t="s">
        <v>199</v>
      </c>
      <c r="J248" s="92">
        <v>2.5</v>
      </c>
      <c r="K248" s="92">
        <v>0.54900000000000004</v>
      </c>
    </row>
    <row r="249" spans="1:11" x14ac:dyDescent="0.25">
      <c r="A249" s="274"/>
      <c r="B249" s="1"/>
      <c r="C249" s="1"/>
      <c r="D249" s="92">
        <f>0.27+0.47</f>
        <v>0.74</v>
      </c>
      <c r="E249" s="15" t="s">
        <v>340</v>
      </c>
      <c r="F249" s="41">
        <f t="shared" si="8"/>
        <v>0.74</v>
      </c>
      <c r="G249" s="1"/>
      <c r="H249" s="1"/>
      <c r="I249" s="15" t="s">
        <v>340</v>
      </c>
      <c r="J249" s="92">
        <f>0.27+0.47</f>
        <v>0.74</v>
      </c>
      <c r="K249" s="92">
        <v>0</v>
      </c>
    </row>
    <row r="250" spans="1:11" x14ac:dyDescent="0.25">
      <c r="A250" s="274"/>
      <c r="B250" s="1"/>
      <c r="C250" s="1"/>
      <c r="D250" s="92">
        <v>1.4239999999999999</v>
      </c>
      <c r="E250" s="15" t="s">
        <v>104</v>
      </c>
      <c r="F250" s="41">
        <f t="shared" si="8"/>
        <v>1.4239999999999999</v>
      </c>
      <c r="G250" s="1"/>
      <c r="H250" s="1"/>
      <c r="I250" s="15" t="s">
        <v>104</v>
      </c>
      <c r="J250" s="92">
        <v>0.95960000000000001</v>
      </c>
      <c r="K250" s="92">
        <v>0.46439999999999998</v>
      </c>
    </row>
    <row r="251" spans="1:11" x14ac:dyDescent="0.25">
      <c r="A251" s="274"/>
      <c r="B251" s="1"/>
      <c r="C251" s="1"/>
      <c r="D251" s="92">
        <v>2.762</v>
      </c>
      <c r="E251" s="15" t="s">
        <v>295</v>
      </c>
      <c r="F251" s="41">
        <f t="shared" si="8"/>
        <v>2.762</v>
      </c>
      <c r="G251" s="1"/>
      <c r="H251" s="1"/>
      <c r="I251" s="15" t="s">
        <v>295</v>
      </c>
      <c r="J251" s="92">
        <v>2.508</v>
      </c>
      <c r="K251" s="92">
        <v>0.254</v>
      </c>
    </row>
    <row r="252" spans="1:11" x14ac:dyDescent="0.25">
      <c r="A252" s="274"/>
      <c r="B252" s="1"/>
      <c r="C252" s="1"/>
      <c r="D252" s="92">
        <v>1.5960000000000001</v>
      </c>
      <c r="E252" s="15" t="s">
        <v>341</v>
      </c>
      <c r="F252" s="41">
        <f t="shared" si="8"/>
        <v>1.5960000000000001</v>
      </c>
      <c r="G252" s="1"/>
      <c r="H252" s="1"/>
      <c r="I252" s="15" t="s">
        <v>341</v>
      </c>
      <c r="J252" s="92">
        <v>1.35792</v>
      </c>
      <c r="K252" s="92">
        <v>0.23808000000000001</v>
      </c>
    </row>
    <row r="253" spans="1:11" x14ac:dyDescent="0.25">
      <c r="A253" s="274"/>
      <c r="B253" s="1"/>
      <c r="C253" s="1"/>
      <c r="D253" s="92">
        <v>0.50700000000000001</v>
      </c>
      <c r="E253" s="15" t="s">
        <v>203</v>
      </c>
      <c r="F253" s="41">
        <f t="shared" si="8"/>
        <v>0.50700000000000001</v>
      </c>
      <c r="G253" s="1"/>
      <c r="H253" s="1"/>
      <c r="I253" s="15" t="s">
        <v>203</v>
      </c>
      <c r="J253" s="92">
        <v>0.11999</v>
      </c>
      <c r="K253" s="92">
        <v>0.38701000000000002</v>
      </c>
    </row>
    <row r="254" spans="1:11" x14ac:dyDescent="0.25">
      <c r="A254" s="274"/>
      <c r="B254" s="1"/>
      <c r="C254" s="1"/>
      <c r="D254" s="92">
        <v>1.89</v>
      </c>
      <c r="E254" s="15" t="s">
        <v>202</v>
      </c>
      <c r="F254" s="41">
        <f t="shared" si="8"/>
        <v>1.89</v>
      </c>
      <c r="G254" s="1"/>
      <c r="H254" s="1"/>
      <c r="I254" s="15" t="s">
        <v>202</v>
      </c>
      <c r="J254" s="92">
        <v>1.4775</v>
      </c>
      <c r="K254" s="92">
        <v>0.41249999999999998</v>
      </c>
    </row>
    <row r="255" spans="1:11" x14ac:dyDescent="0.25">
      <c r="A255" s="274"/>
      <c r="B255" s="1"/>
      <c r="C255" s="1"/>
      <c r="D255" s="92">
        <v>1.19</v>
      </c>
      <c r="E255" s="15" t="s">
        <v>295</v>
      </c>
      <c r="F255" s="41">
        <f t="shared" si="8"/>
        <v>1.19</v>
      </c>
      <c r="G255" s="1"/>
      <c r="H255" s="1"/>
      <c r="I255" s="15" t="s">
        <v>295</v>
      </c>
      <c r="J255" s="92">
        <v>0.68498000000000003</v>
      </c>
      <c r="K255" s="92">
        <v>0.50502000000000002</v>
      </c>
    </row>
    <row r="256" spans="1:11" ht="60" x14ac:dyDescent="0.25">
      <c r="A256" s="274"/>
      <c r="B256" s="1"/>
      <c r="C256" s="1"/>
      <c r="D256" s="92">
        <v>10.66572</v>
      </c>
      <c r="E256" s="15" t="s">
        <v>342</v>
      </c>
      <c r="F256" s="41">
        <f t="shared" si="8"/>
        <v>10.66572</v>
      </c>
      <c r="G256" s="1"/>
      <c r="H256" s="1"/>
      <c r="I256" s="15" t="s">
        <v>342</v>
      </c>
      <c r="J256" s="92">
        <v>10.66572</v>
      </c>
      <c r="K256" s="92">
        <v>0</v>
      </c>
    </row>
    <row r="257" spans="1:12" ht="30" x14ac:dyDescent="0.25">
      <c r="A257" s="274"/>
      <c r="B257" s="1"/>
      <c r="C257" s="1"/>
      <c r="D257" s="92">
        <v>12.0084</v>
      </c>
      <c r="E257" s="15" t="s">
        <v>343</v>
      </c>
      <c r="F257" s="41">
        <f t="shared" si="8"/>
        <v>12.0084</v>
      </c>
      <c r="G257" s="1"/>
      <c r="H257" s="1"/>
      <c r="I257" s="15" t="s">
        <v>343</v>
      </c>
      <c r="J257" s="92">
        <v>12.0084</v>
      </c>
      <c r="K257" s="92">
        <v>0</v>
      </c>
    </row>
    <row r="258" spans="1:12" x14ac:dyDescent="0.25">
      <c r="A258" s="274"/>
      <c r="B258" s="1"/>
      <c r="C258" s="1"/>
      <c r="D258" s="92">
        <v>0.23749999999999999</v>
      </c>
      <c r="E258" s="15" t="s">
        <v>344</v>
      </c>
      <c r="F258" s="41">
        <f t="shared" si="8"/>
        <v>0.23749999999999999</v>
      </c>
      <c r="G258" s="1"/>
      <c r="H258" s="1"/>
      <c r="I258" s="15" t="s">
        <v>344</v>
      </c>
      <c r="J258" s="92">
        <f>0.0475</f>
        <v>4.7500000000000001E-2</v>
      </c>
      <c r="K258" s="92">
        <v>0.19</v>
      </c>
    </row>
    <row r="259" spans="1:12" ht="30" x14ac:dyDescent="0.25">
      <c r="A259" s="274"/>
      <c r="B259" s="1"/>
      <c r="C259" s="1"/>
      <c r="D259" s="92">
        <v>0.49434</v>
      </c>
      <c r="E259" s="15" t="s">
        <v>345</v>
      </c>
      <c r="F259" s="41">
        <f t="shared" si="8"/>
        <v>0.49434</v>
      </c>
      <c r="G259" s="1"/>
      <c r="H259" s="1"/>
      <c r="I259" s="15" t="s">
        <v>345</v>
      </c>
      <c r="J259" s="92">
        <v>0.34604000000000001</v>
      </c>
      <c r="K259" s="92">
        <v>0.14829999999999999</v>
      </c>
    </row>
    <row r="260" spans="1:12" ht="39" customHeight="1" x14ac:dyDescent="0.3">
      <c r="A260" s="274"/>
      <c r="B260" s="52" t="s">
        <v>22</v>
      </c>
      <c r="C260" s="1"/>
      <c r="D260" s="92">
        <f>2.756</f>
        <v>2.7559999999999998</v>
      </c>
      <c r="E260" s="127" t="s">
        <v>302</v>
      </c>
      <c r="F260" s="154">
        <f t="shared" si="8"/>
        <v>2.7559999999999998</v>
      </c>
      <c r="G260" s="1"/>
      <c r="H260" s="1"/>
      <c r="I260" s="15" t="s">
        <v>302</v>
      </c>
      <c r="J260" s="92">
        <f>2.756</f>
        <v>2.7559999999999998</v>
      </c>
      <c r="K260" s="150">
        <v>0</v>
      </c>
      <c r="L260" s="38"/>
    </row>
    <row r="261" spans="1:12" x14ac:dyDescent="0.25">
      <c r="A261" s="274"/>
      <c r="B261" s="1"/>
      <c r="C261" s="1"/>
      <c r="D261" s="92">
        <v>0.19900000000000001</v>
      </c>
      <c r="E261" s="128" t="s">
        <v>303</v>
      </c>
      <c r="F261" s="154">
        <f t="shared" si="8"/>
        <v>0.19900000000000001</v>
      </c>
      <c r="G261" s="1"/>
      <c r="H261" s="1"/>
      <c r="I261" s="1" t="s">
        <v>303</v>
      </c>
      <c r="J261" s="92">
        <v>0.19900000000000001</v>
      </c>
      <c r="K261" s="150">
        <v>0</v>
      </c>
      <c r="L261" s="38"/>
    </row>
    <row r="262" spans="1:12" ht="30" x14ac:dyDescent="0.25">
      <c r="A262" s="274"/>
      <c r="B262" s="1"/>
      <c r="C262" s="1"/>
      <c r="D262" s="92">
        <v>10.9</v>
      </c>
      <c r="E262" s="127" t="s">
        <v>304</v>
      </c>
      <c r="F262" s="106">
        <f t="shared" si="8"/>
        <v>10.9</v>
      </c>
      <c r="G262" s="1"/>
      <c r="H262" s="1"/>
      <c r="I262" s="15" t="s">
        <v>304</v>
      </c>
      <c r="J262" s="92">
        <v>10.9</v>
      </c>
      <c r="K262" s="150">
        <v>0</v>
      </c>
      <c r="L262" s="38"/>
    </row>
    <row r="263" spans="1:12" x14ac:dyDescent="0.25">
      <c r="A263" s="274"/>
      <c r="B263" s="1"/>
      <c r="C263" s="1"/>
      <c r="D263" s="92">
        <v>0.70299999999999996</v>
      </c>
      <c r="E263" s="128" t="s">
        <v>305</v>
      </c>
      <c r="F263" s="106">
        <f t="shared" si="8"/>
        <v>0.70299999999999996</v>
      </c>
      <c r="G263" s="1"/>
      <c r="H263" s="1"/>
      <c r="I263" s="1" t="s">
        <v>305</v>
      </c>
      <c r="J263" s="92">
        <v>0.70299999999999996</v>
      </c>
      <c r="K263" s="150">
        <v>0</v>
      </c>
      <c r="L263" s="38"/>
    </row>
    <row r="264" spans="1:12" x14ac:dyDescent="0.25">
      <c r="A264" s="274"/>
      <c r="B264" s="1"/>
      <c r="C264" s="1"/>
      <c r="D264" s="92">
        <v>0.14000000000000001</v>
      </c>
      <c r="E264" s="128" t="s">
        <v>308</v>
      </c>
      <c r="F264" s="106">
        <f t="shared" si="8"/>
        <v>0.14000000000000001</v>
      </c>
      <c r="G264" s="1"/>
      <c r="H264" s="1"/>
      <c r="I264" s="1" t="s">
        <v>308</v>
      </c>
      <c r="J264" s="92">
        <v>0.14000000000000001</v>
      </c>
      <c r="K264" s="150">
        <v>0</v>
      </c>
      <c r="L264" s="38"/>
    </row>
    <row r="265" spans="1:12" x14ac:dyDescent="0.25">
      <c r="A265" s="274"/>
      <c r="B265" s="1"/>
      <c r="C265" s="1"/>
      <c r="D265" s="92">
        <v>0.76800000000000002</v>
      </c>
      <c r="E265" s="128" t="s">
        <v>309</v>
      </c>
      <c r="F265" s="106">
        <f t="shared" si="8"/>
        <v>0.76800000000000002</v>
      </c>
      <c r="G265" s="1"/>
      <c r="H265" s="1"/>
      <c r="I265" s="1" t="s">
        <v>309</v>
      </c>
      <c r="J265" s="92">
        <v>0.76800000000000002</v>
      </c>
      <c r="K265" s="150">
        <v>0</v>
      </c>
      <c r="L265" s="38"/>
    </row>
    <row r="266" spans="1:12" x14ac:dyDescent="0.25">
      <c r="A266" s="274"/>
      <c r="B266" s="1"/>
      <c r="C266" s="1"/>
      <c r="D266" s="92">
        <v>4.37</v>
      </c>
      <c r="E266" s="128" t="s">
        <v>314</v>
      </c>
      <c r="F266" s="106">
        <f t="shared" si="8"/>
        <v>4.37</v>
      </c>
      <c r="G266" s="1"/>
      <c r="H266" s="1"/>
      <c r="I266" s="1" t="s">
        <v>314</v>
      </c>
      <c r="J266" s="92">
        <v>4.37</v>
      </c>
      <c r="K266" s="150">
        <v>0</v>
      </c>
      <c r="L266" s="38"/>
    </row>
    <row r="267" spans="1:12" x14ac:dyDescent="0.25">
      <c r="A267" s="274"/>
      <c r="B267" s="1"/>
      <c r="C267" s="1"/>
      <c r="D267" s="92">
        <v>0.56200000000000006</v>
      </c>
      <c r="E267" s="128" t="s">
        <v>315</v>
      </c>
      <c r="F267" s="106">
        <f t="shared" si="8"/>
        <v>0.56200000000000006</v>
      </c>
      <c r="G267" s="1"/>
      <c r="H267" s="1"/>
      <c r="I267" s="1" t="s">
        <v>315</v>
      </c>
      <c r="J267" s="92">
        <v>0.56200000000000006</v>
      </c>
      <c r="K267" s="150">
        <v>0</v>
      </c>
      <c r="L267" s="38"/>
    </row>
    <row r="268" spans="1:12" ht="30" customHeight="1" x14ac:dyDescent="0.25">
      <c r="A268" s="274"/>
      <c r="B268" s="1"/>
      <c r="C268" s="1"/>
      <c r="D268" s="92">
        <v>16.291</v>
      </c>
      <c r="E268" s="127" t="s">
        <v>316</v>
      </c>
      <c r="F268" s="106">
        <f t="shared" si="8"/>
        <v>16.291</v>
      </c>
      <c r="G268" s="1"/>
      <c r="H268" s="1"/>
      <c r="I268" s="15" t="s">
        <v>316</v>
      </c>
      <c r="J268" s="92">
        <v>16.291</v>
      </c>
      <c r="K268" s="150">
        <v>0</v>
      </c>
      <c r="L268" s="38"/>
    </row>
    <row r="269" spans="1:12" ht="30" x14ac:dyDescent="0.25">
      <c r="A269" s="274"/>
      <c r="B269" s="1"/>
      <c r="C269" s="1"/>
      <c r="D269" s="92">
        <f>1.407</f>
        <v>1.407</v>
      </c>
      <c r="E269" s="127" t="s">
        <v>319</v>
      </c>
      <c r="F269" s="106">
        <f t="shared" si="8"/>
        <v>1.407</v>
      </c>
      <c r="G269" s="1"/>
      <c r="H269" s="1"/>
      <c r="I269" s="15" t="s">
        <v>319</v>
      </c>
      <c r="J269" s="92">
        <f>1.407</f>
        <v>1.407</v>
      </c>
      <c r="K269" s="150">
        <v>0</v>
      </c>
      <c r="L269" s="38"/>
    </row>
    <row r="270" spans="1:12" ht="30" x14ac:dyDescent="0.25">
      <c r="A270" s="274"/>
      <c r="B270" s="1"/>
      <c r="C270" s="1"/>
      <c r="D270" s="92">
        <v>11.445</v>
      </c>
      <c r="E270" s="127" t="s">
        <v>321</v>
      </c>
      <c r="F270" s="106">
        <f t="shared" si="8"/>
        <v>11.445</v>
      </c>
      <c r="G270" s="1"/>
      <c r="H270" s="1"/>
      <c r="I270" s="15" t="s">
        <v>321</v>
      </c>
      <c r="J270" s="92">
        <v>11.445</v>
      </c>
      <c r="K270" s="150">
        <v>0</v>
      </c>
      <c r="L270" s="38"/>
    </row>
    <row r="271" spans="1:12" ht="27.75" customHeight="1" x14ac:dyDescent="0.25">
      <c r="A271" s="274"/>
      <c r="B271" s="1"/>
      <c r="C271" s="1"/>
      <c r="D271" s="92">
        <v>1.0620000000000001</v>
      </c>
      <c r="E271" s="127" t="s">
        <v>326</v>
      </c>
      <c r="F271" s="106">
        <f t="shared" si="8"/>
        <v>1.0620000000000001</v>
      </c>
      <c r="G271" s="1"/>
      <c r="H271" s="1"/>
      <c r="I271" s="15" t="s">
        <v>326</v>
      </c>
      <c r="J271" s="92">
        <v>1.0620000000000001</v>
      </c>
      <c r="K271" s="150">
        <v>0</v>
      </c>
      <c r="L271" s="38"/>
    </row>
    <row r="272" spans="1:12" ht="30" x14ac:dyDescent="0.25">
      <c r="A272" s="274"/>
      <c r="B272" s="1"/>
      <c r="C272" s="1"/>
      <c r="D272" s="92">
        <v>0.3</v>
      </c>
      <c r="E272" s="127" t="s">
        <v>144</v>
      </c>
      <c r="F272" s="106">
        <f t="shared" si="8"/>
        <v>0.3</v>
      </c>
      <c r="G272" s="1"/>
      <c r="H272" s="1"/>
      <c r="I272" s="15" t="s">
        <v>144</v>
      </c>
      <c r="J272" s="92">
        <v>0.3</v>
      </c>
      <c r="K272" s="150">
        <v>0</v>
      </c>
      <c r="L272" s="38"/>
    </row>
    <row r="273" spans="1:11" x14ac:dyDescent="0.25">
      <c r="A273" s="274"/>
      <c r="B273" s="1"/>
      <c r="C273" s="1"/>
      <c r="D273" s="92">
        <v>0.60799999999999998</v>
      </c>
      <c r="E273" s="127" t="s">
        <v>145</v>
      </c>
      <c r="F273" s="105">
        <f t="shared" si="8"/>
        <v>0.60799999999999998</v>
      </c>
      <c r="G273" s="1"/>
      <c r="H273" s="1"/>
      <c r="I273" s="15" t="s">
        <v>145</v>
      </c>
      <c r="J273" s="92">
        <v>0.60799999999999998</v>
      </c>
      <c r="K273" s="92">
        <v>0</v>
      </c>
    </row>
    <row r="274" spans="1:11" ht="30" x14ac:dyDescent="0.25">
      <c r="A274" s="274"/>
      <c r="B274" s="1"/>
      <c r="C274" s="1"/>
      <c r="D274" s="92">
        <f>0.29+0.304</f>
        <v>0.59399999999999997</v>
      </c>
      <c r="E274" s="127" t="s">
        <v>328</v>
      </c>
      <c r="F274" s="105">
        <f t="shared" si="8"/>
        <v>0.59399999999999997</v>
      </c>
      <c r="G274" s="1"/>
      <c r="H274" s="1"/>
      <c r="I274" s="15" t="s">
        <v>328</v>
      </c>
      <c r="J274" s="92">
        <f>0.29+0.304</f>
        <v>0.59399999999999997</v>
      </c>
      <c r="K274" s="92">
        <v>0</v>
      </c>
    </row>
    <row r="275" spans="1:11" ht="30" x14ac:dyDescent="0.25">
      <c r="A275" s="274"/>
      <c r="B275" s="1"/>
      <c r="C275" s="1"/>
      <c r="D275" s="92">
        <v>0.52500000000000002</v>
      </c>
      <c r="E275" s="127" t="s">
        <v>329</v>
      </c>
      <c r="F275" s="105">
        <f t="shared" si="8"/>
        <v>0.52500000000000002</v>
      </c>
      <c r="G275" s="1"/>
      <c r="H275" s="1"/>
      <c r="I275" s="15" t="s">
        <v>329</v>
      </c>
      <c r="J275" s="92">
        <v>0.52500000000000002</v>
      </c>
      <c r="K275" s="92">
        <v>0</v>
      </c>
    </row>
    <row r="276" spans="1:11" x14ac:dyDescent="0.25">
      <c r="A276" s="274"/>
      <c r="B276" s="1"/>
      <c r="C276" s="1"/>
      <c r="D276" s="92">
        <v>0.39800000000000002</v>
      </c>
      <c r="E276" s="127" t="s">
        <v>332</v>
      </c>
      <c r="F276" s="152">
        <f t="shared" ref="F276:F281" si="9">D276</f>
        <v>0.39800000000000002</v>
      </c>
      <c r="G276" s="1"/>
      <c r="H276" s="1"/>
      <c r="I276" s="15" t="s">
        <v>332</v>
      </c>
      <c r="J276" s="92">
        <v>0.39800000000000002</v>
      </c>
      <c r="K276" s="92">
        <v>0</v>
      </c>
    </row>
    <row r="277" spans="1:11" x14ac:dyDescent="0.25">
      <c r="A277" s="274"/>
      <c r="B277" s="1"/>
      <c r="C277" s="1"/>
      <c r="D277" s="92">
        <f>1.066+0.57</f>
        <v>1.6360000000000001</v>
      </c>
      <c r="E277" s="127" t="s">
        <v>334</v>
      </c>
      <c r="F277" s="152">
        <f t="shared" si="9"/>
        <v>1.6360000000000001</v>
      </c>
      <c r="G277" s="1"/>
      <c r="H277" s="1"/>
      <c r="I277" s="15" t="s">
        <v>334</v>
      </c>
      <c r="J277" s="92">
        <f>1.066+0.57</f>
        <v>1.6360000000000001</v>
      </c>
      <c r="K277" s="92">
        <v>0</v>
      </c>
    </row>
    <row r="278" spans="1:11" ht="33.75" customHeight="1" x14ac:dyDescent="0.25">
      <c r="A278" s="274"/>
      <c r="B278" s="1"/>
      <c r="C278" s="1"/>
      <c r="D278" s="92">
        <v>0.14699999999999999</v>
      </c>
      <c r="E278" s="127" t="s">
        <v>335</v>
      </c>
      <c r="F278" s="152">
        <f t="shared" si="9"/>
        <v>0.14699999999999999</v>
      </c>
      <c r="G278" s="1"/>
      <c r="H278" s="1"/>
      <c r="I278" s="15" t="s">
        <v>335</v>
      </c>
      <c r="J278" s="92">
        <v>0.14699999999999999</v>
      </c>
      <c r="K278" s="92">
        <v>0</v>
      </c>
    </row>
    <row r="279" spans="1:11" x14ac:dyDescent="0.25">
      <c r="A279" s="274"/>
      <c r="B279" s="1"/>
      <c r="C279" s="1"/>
      <c r="D279" s="92">
        <v>2.75</v>
      </c>
      <c r="E279" s="127" t="s">
        <v>43</v>
      </c>
      <c r="F279" s="152">
        <f t="shared" si="9"/>
        <v>2.75</v>
      </c>
      <c r="G279" s="1"/>
      <c r="H279" s="1"/>
      <c r="I279" s="15" t="s">
        <v>43</v>
      </c>
      <c r="J279" s="92">
        <v>2.75</v>
      </c>
      <c r="K279" s="92">
        <v>0</v>
      </c>
    </row>
    <row r="280" spans="1:11" ht="30" x14ac:dyDescent="0.25">
      <c r="A280" s="274"/>
      <c r="B280" s="1"/>
      <c r="C280" s="1"/>
      <c r="D280" s="92">
        <v>2.387</v>
      </c>
      <c r="E280" s="127" t="s">
        <v>337</v>
      </c>
      <c r="F280" s="152">
        <f t="shared" si="9"/>
        <v>2.387</v>
      </c>
      <c r="G280" s="1"/>
      <c r="H280" s="1"/>
      <c r="I280" s="15" t="s">
        <v>337</v>
      </c>
      <c r="J280" s="92">
        <v>2.387</v>
      </c>
      <c r="K280" s="92">
        <v>0</v>
      </c>
    </row>
    <row r="281" spans="1:11" x14ac:dyDescent="0.25">
      <c r="A281" s="274"/>
      <c r="B281" s="1"/>
      <c r="C281" s="1"/>
      <c r="D281" s="92">
        <v>0.59799999999999998</v>
      </c>
      <c r="E281" s="127" t="s">
        <v>41</v>
      </c>
      <c r="F281" s="152">
        <f t="shared" si="9"/>
        <v>0.59799999999999998</v>
      </c>
      <c r="G281" s="1"/>
      <c r="H281" s="1"/>
      <c r="I281" s="15" t="s">
        <v>41</v>
      </c>
      <c r="J281" s="92">
        <v>0.59799999999999998</v>
      </c>
      <c r="K281" s="92">
        <v>0</v>
      </c>
    </row>
    <row r="282" spans="1:11" x14ac:dyDescent="0.25">
      <c r="A282" s="274"/>
      <c r="B282" s="60" t="s">
        <v>129</v>
      </c>
      <c r="C282" s="166">
        <v>13.34</v>
      </c>
      <c r="D282" s="140"/>
      <c r="E282" s="167"/>
      <c r="F282" s="168">
        <f>C282</f>
        <v>13.34</v>
      </c>
      <c r="G282" s="1"/>
      <c r="H282" s="1"/>
      <c r="I282" s="15"/>
      <c r="J282" s="92"/>
      <c r="K282" s="169">
        <v>13.34</v>
      </c>
    </row>
    <row r="283" spans="1:11" x14ac:dyDescent="0.25">
      <c r="A283" s="262" t="s">
        <v>15</v>
      </c>
      <c r="B283" s="1"/>
      <c r="C283" s="1"/>
      <c r="D283" s="105"/>
      <c r="E283" s="1"/>
      <c r="F283" s="42"/>
      <c r="G283" s="1"/>
      <c r="H283" s="1"/>
      <c r="I283" s="128"/>
      <c r="J283" s="92"/>
      <c r="K283" s="92"/>
    </row>
    <row r="284" spans="1:11" x14ac:dyDescent="0.25">
      <c r="A284" s="263"/>
      <c r="B284" s="1"/>
      <c r="C284" s="1"/>
      <c r="D284" s="105"/>
      <c r="E284" s="1"/>
      <c r="F284" s="41"/>
      <c r="G284" s="1"/>
      <c r="H284" s="1"/>
      <c r="I284" s="128"/>
      <c r="J284" s="92"/>
      <c r="K284" s="92"/>
    </row>
    <row r="285" spans="1:11" ht="33" customHeight="1" x14ac:dyDescent="0.25">
      <c r="A285" s="4" t="s">
        <v>16</v>
      </c>
      <c r="B285" s="1"/>
      <c r="C285" s="106">
        <f>14.691+C115+C282</f>
        <v>46.695999999999998</v>
      </c>
      <c r="D285" s="106">
        <f>SUM(D13:D113)+SUM(D119:D205)+SUM(D206:D281)</f>
        <v>614.87376000000006</v>
      </c>
      <c r="E285" s="6" t="s">
        <v>17</v>
      </c>
      <c r="F285" s="42">
        <f>C285+D285</f>
        <v>661.56976000000009</v>
      </c>
      <c r="G285" s="6" t="s">
        <v>17</v>
      </c>
      <c r="H285" s="170">
        <f>SUM(H115:H118)</f>
        <v>33.356000000000002</v>
      </c>
      <c r="I285" s="130" t="s">
        <v>17</v>
      </c>
      <c r="J285" s="120">
        <f>SUM(J13:J281)</f>
        <v>529.34917999999982</v>
      </c>
      <c r="K285" s="120">
        <f>SUM(K13:K282)-K114</f>
        <v>98.865210000000047</v>
      </c>
    </row>
    <row r="286" spans="1:11" ht="21.75" customHeight="1" x14ac:dyDescent="0.25">
      <c r="A286" s="70"/>
      <c r="B286" s="64"/>
      <c r="C286" s="71"/>
      <c r="D286" s="107"/>
      <c r="E286" s="73"/>
      <c r="F286" s="74"/>
      <c r="G286" s="73"/>
      <c r="H286" s="75"/>
      <c r="I286" s="131"/>
      <c r="J286" s="132"/>
      <c r="K286" s="132"/>
    </row>
    <row r="287" spans="1:11" x14ac:dyDescent="0.25">
      <c r="F287" s="78"/>
      <c r="G287" s="79"/>
    </row>
    <row r="288" spans="1:11" x14ac:dyDescent="0.25">
      <c r="B288" s="63" t="s">
        <v>347</v>
      </c>
      <c r="C288" s="67"/>
      <c r="D288" s="108"/>
      <c r="E288" s="65"/>
      <c r="F288" s="265" t="s">
        <v>349</v>
      </c>
      <c r="G288" s="265"/>
      <c r="H288" s="8"/>
      <c r="I288" s="112"/>
    </row>
    <row r="289" spans="1:11" x14ac:dyDescent="0.25">
      <c r="B289" s="63" t="s">
        <v>348</v>
      </c>
      <c r="C289" s="67"/>
      <c r="D289" s="109"/>
      <c r="E289" s="67"/>
      <c r="F289" s="148"/>
      <c r="G289" s="81"/>
      <c r="H289" s="8"/>
      <c r="I289" s="112"/>
    </row>
    <row r="290" spans="1:11" x14ac:dyDescent="0.25">
      <c r="B290" s="63"/>
      <c r="C290" s="8"/>
      <c r="D290" s="110"/>
      <c r="E290" s="8"/>
      <c r="F290" s="148"/>
      <c r="G290" s="81"/>
      <c r="H290" s="8"/>
      <c r="I290" s="112"/>
    </row>
    <row r="291" spans="1:11" x14ac:dyDescent="0.25">
      <c r="B291" s="63" t="s">
        <v>350</v>
      </c>
      <c r="C291" s="67"/>
      <c r="D291" s="108"/>
      <c r="E291" s="65"/>
      <c r="F291" s="265" t="s">
        <v>134</v>
      </c>
      <c r="G291" s="265"/>
      <c r="H291" s="8"/>
      <c r="I291" s="112"/>
    </row>
    <row r="292" spans="1:11" x14ac:dyDescent="0.25">
      <c r="B292" s="63" t="s">
        <v>351</v>
      </c>
      <c r="C292" s="67"/>
      <c r="D292" s="109"/>
      <c r="E292" s="67"/>
      <c r="F292" s="148"/>
      <c r="G292" s="81"/>
      <c r="H292" s="8"/>
      <c r="I292" s="112"/>
    </row>
    <row r="293" spans="1:11" s="31" customFormat="1" x14ac:dyDescent="0.25">
      <c r="A293"/>
      <c r="B293" s="63"/>
      <c r="C293" s="8"/>
      <c r="D293" s="110"/>
      <c r="E293" s="8"/>
      <c r="F293" s="148"/>
      <c r="G293" s="81"/>
      <c r="H293" s="8"/>
      <c r="I293" s="112"/>
      <c r="J293" s="113"/>
      <c r="K293" s="113"/>
    </row>
    <row r="294" spans="1:11" s="31" customFormat="1" x14ac:dyDescent="0.25">
      <c r="A294"/>
      <c r="B294" s="63" t="s">
        <v>298</v>
      </c>
      <c r="C294" s="65"/>
      <c r="D294" s="108"/>
      <c r="E294" s="65"/>
      <c r="F294" s="265" t="s">
        <v>135</v>
      </c>
      <c r="G294" s="265"/>
      <c r="H294" s="8"/>
      <c r="I294" s="112"/>
      <c r="J294" s="113"/>
      <c r="K294" s="113"/>
    </row>
    <row r="295" spans="1:11" x14ac:dyDescent="0.25">
      <c r="B295" s="63" t="s">
        <v>352</v>
      </c>
    </row>
  </sheetData>
  <mergeCells count="17">
    <mergeCell ref="F291:G291"/>
    <mergeCell ref="F294:G294"/>
    <mergeCell ref="K11:K12"/>
    <mergeCell ref="A13:A114"/>
    <mergeCell ref="A115:A205"/>
    <mergeCell ref="A283:A284"/>
    <mergeCell ref="F288:G288"/>
    <mergeCell ref="A206:A282"/>
    <mergeCell ref="D5:H5"/>
    <mergeCell ref="B6:J6"/>
    <mergeCell ref="B7:J7"/>
    <mergeCell ref="C8:I8"/>
    <mergeCell ref="A11:A12"/>
    <mergeCell ref="B11:B12"/>
    <mergeCell ref="C11:E11"/>
    <mergeCell ref="F11:F12"/>
    <mergeCell ref="G11:J11"/>
  </mergeCells>
  <pageMargins left="0.11811023622047245" right="0.11811023622047245" top="0.15748031496062992" bottom="0.15748031496062992" header="0" footer="0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06"/>
  <sheetViews>
    <sheetView topLeftCell="A273" zoomScaleNormal="100" workbookViewId="0">
      <selection activeCell="D258" sqref="D258"/>
    </sheetView>
  </sheetViews>
  <sheetFormatPr defaultRowHeight="15" x14ac:dyDescent="0.25"/>
  <cols>
    <col min="1" max="1" width="9.42578125" customWidth="1"/>
    <col min="2" max="2" width="19.85546875" customWidth="1"/>
    <col min="3" max="3" width="9.42578125" customWidth="1"/>
    <col min="4" max="4" width="10.85546875" style="95" customWidth="1"/>
    <col min="5" max="5" width="24.7109375" customWidth="1"/>
    <col min="6" max="6" width="11.7109375" style="38" customWidth="1"/>
    <col min="7" max="7" width="14" customWidth="1"/>
    <col min="8" max="8" width="10" customWidth="1"/>
    <col min="9" max="9" width="26.140625" style="117" customWidth="1"/>
    <col min="10" max="10" width="9.42578125" style="113" customWidth="1"/>
    <col min="11" max="11" width="17.28515625" style="113" customWidth="1"/>
  </cols>
  <sheetData>
    <row r="1" spans="1:11" x14ac:dyDescent="0.25">
      <c r="I1" s="112" t="s">
        <v>19</v>
      </c>
    </row>
    <row r="2" spans="1:11" x14ac:dyDescent="0.25">
      <c r="I2" s="112" t="s">
        <v>20</v>
      </c>
    </row>
    <row r="3" spans="1:11" x14ac:dyDescent="0.25">
      <c r="I3" s="112" t="s">
        <v>21</v>
      </c>
    </row>
    <row r="5" spans="1:11" ht="18.75" x14ac:dyDescent="0.3">
      <c r="B5" s="10"/>
      <c r="C5" s="10"/>
      <c r="D5" s="257" t="s">
        <v>18</v>
      </c>
      <c r="E5" s="257"/>
      <c r="F5" s="257"/>
      <c r="G5" s="257"/>
      <c r="H5" s="257"/>
      <c r="I5" s="114"/>
      <c r="J5" s="115"/>
    </row>
    <row r="6" spans="1:11" ht="18.75" x14ac:dyDescent="0.3">
      <c r="B6" s="258" t="s">
        <v>49</v>
      </c>
      <c r="C6" s="258"/>
      <c r="D6" s="258"/>
      <c r="E6" s="258"/>
      <c r="F6" s="258"/>
      <c r="G6" s="258"/>
      <c r="H6" s="258"/>
      <c r="I6" s="258"/>
      <c r="J6" s="258"/>
    </row>
    <row r="7" spans="1:11" ht="18.75" x14ac:dyDescent="0.3">
      <c r="B7" s="259" t="s">
        <v>137</v>
      </c>
      <c r="C7" s="259"/>
      <c r="D7" s="259"/>
      <c r="E7" s="259"/>
      <c r="F7" s="259"/>
      <c r="G7" s="259"/>
      <c r="H7" s="259"/>
      <c r="I7" s="259"/>
      <c r="J7" s="259"/>
    </row>
    <row r="8" spans="1:11" x14ac:dyDescent="0.25">
      <c r="B8" s="9"/>
      <c r="C8" s="260" t="s">
        <v>50</v>
      </c>
      <c r="D8" s="260"/>
      <c r="E8" s="260"/>
      <c r="F8" s="261"/>
      <c r="G8" s="261"/>
      <c r="H8" s="261"/>
      <c r="I8" s="261"/>
      <c r="J8" s="116"/>
    </row>
    <row r="9" spans="1:11" x14ac:dyDescent="0.25">
      <c r="D9" s="96"/>
      <c r="E9" s="7"/>
      <c r="F9" s="39"/>
      <c r="G9" s="7"/>
      <c r="H9" s="7"/>
    </row>
    <row r="11" spans="1:11" ht="56.25" customHeight="1" x14ac:dyDescent="0.25">
      <c r="A11" s="264" t="s">
        <v>0</v>
      </c>
      <c r="B11" s="264" t="s">
        <v>1</v>
      </c>
      <c r="C11" s="256" t="s">
        <v>2</v>
      </c>
      <c r="D11" s="256"/>
      <c r="E11" s="256"/>
      <c r="F11" s="254" t="s">
        <v>6</v>
      </c>
      <c r="G11" s="255" t="s">
        <v>7</v>
      </c>
      <c r="H11" s="255"/>
      <c r="I11" s="255"/>
      <c r="J11" s="255"/>
      <c r="K11" s="269" t="s">
        <v>11</v>
      </c>
    </row>
    <row r="12" spans="1:11" ht="90.75" customHeight="1" x14ac:dyDescent="0.25">
      <c r="A12" s="264"/>
      <c r="B12" s="264"/>
      <c r="C12" s="157" t="s">
        <v>3</v>
      </c>
      <c r="D12" s="97" t="s">
        <v>4</v>
      </c>
      <c r="E12" s="12" t="s">
        <v>5</v>
      </c>
      <c r="F12" s="254"/>
      <c r="G12" s="156" t="s">
        <v>8</v>
      </c>
      <c r="H12" s="157" t="s">
        <v>9</v>
      </c>
      <c r="I12" s="118" t="s">
        <v>10</v>
      </c>
      <c r="J12" s="98" t="s">
        <v>9</v>
      </c>
      <c r="K12" s="269"/>
    </row>
    <row r="13" spans="1:11" ht="51" customHeight="1" x14ac:dyDescent="0.3">
      <c r="A13" s="262" t="s">
        <v>13</v>
      </c>
      <c r="B13" s="52" t="s">
        <v>22</v>
      </c>
      <c r="C13" s="44"/>
      <c r="D13" s="98">
        <v>10.39</v>
      </c>
      <c r="E13" s="13" t="s">
        <v>23</v>
      </c>
      <c r="F13" s="40">
        <f>D13</f>
        <v>10.39</v>
      </c>
      <c r="G13" s="45"/>
      <c r="H13" s="45"/>
      <c r="I13" s="119" t="s">
        <v>23</v>
      </c>
      <c r="J13" s="98">
        <v>10.39</v>
      </c>
      <c r="K13" s="120">
        <v>0</v>
      </c>
    </row>
    <row r="14" spans="1:11" x14ac:dyDescent="0.25">
      <c r="A14" s="266"/>
      <c r="B14" s="45"/>
      <c r="C14" s="44"/>
      <c r="D14" s="98">
        <f>0.14+0.14</f>
        <v>0.28000000000000003</v>
      </c>
      <c r="E14" s="13" t="s">
        <v>24</v>
      </c>
      <c r="F14" s="40">
        <f t="shared" ref="F14:F77" si="0">D14</f>
        <v>0.28000000000000003</v>
      </c>
      <c r="G14" s="45"/>
      <c r="H14" s="45"/>
      <c r="I14" s="119" t="s">
        <v>24</v>
      </c>
      <c r="J14" s="101">
        <f>0.14+0.14</f>
        <v>0.28000000000000003</v>
      </c>
      <c r="K14" s="101">
        <v>0</v>
      </c>
    </row>
    <row r="15" spans="1:11" ht="51" customHeight="1" x14ac:dyDescent="0.25">
      <c r="A15" s="267"/>
      <c r="B15" s="45"/>
      <c r="C15" s="44"/>
      <c r="D15" s="98">
        <v>4.3499999999999996</v>
      </c>
      <c r="E15" s="13" t="s">
        <v>117</v>
      </c>
      <c r="F15" s="40">
        <f t="shared" si="0"/>
        <v>4.3499999999999996</v>
      </c>
      <c r="G15" s="45"/>
      <c r="H15" s="45"/>
      <c r="I15" s="119" t="s">
        <v>117</v>
      </c>
      <c r="J15" s="98">
        <v>4.3499999999999996</v>
      </c>
      <c r="K15" s="101">
        <v>0</v>
      </c>
    </row>
    <row r="16" spans="1:11" x14ac:dyDescent="0.25">
      <c r="A16" s="267"/>
      <c r="B16" s="45"/>
      <c r="C16" s="44"/>
      <c r="D16" s="98">
        <v>4.1539999999999999</v>
      </c>
      <c r="E16" s="13" t="s">
        <v>25</v>
      </c>
      <c r="F16" s="40">
        <f t="shared" si="0"/>
        <v>4.1539999999999999</v>
      </c>
      <c r="G16" s="45"/>
      <c r="H16" s="45"/>
      <c r="I16" s="119" t="s">
        <v>25</v>
      </c>
      <c r="J16" s="98">
        <v>4.1539999999999999</v>
      </c>
      <c r="K16" s="101">
        <v>0</v>
      </c>
    </row>
    <row r="17" spans="1:11" ht="30" customHeight="1" x14ac:dyDescent="0.25">
      <c r="A17" s="267"/>
      <c r="B17" s="45"/>
      <c r="C17" s="44"/>
      <c r="D17" s="98">
        <v>10.898999999999999</v>
      </c>
      <c r="E17" s="13" t="s">
        <v>26</v>
      </c>
      <c r="F17" s="40">
        <f t="shared" si="0"/>
        <v>10.898999999999999</v>
      </c>
      <c r="G17" s="45"/>
      <c r="H17" s="45"/>
      <c r="I17" s="119" t="s">
        <v>26</v>
      </c>
      <c r="J17" s="98">
        <v>10.898999999999999</v>
      </c>
      <c r="K17" s="101">
        <v>0</v>
      </c>
    </row>
    <row r="18" spans="1:11" ht="32.25" customHeight="1" x14ac:dyDescent="0.25">
      <c r="A18" s="267"/>
      <c r="B18" s="45"/>
      <c r="C18" s="44"/>
      <c r="D18" s="98">
        <v>0.3</v>
      </c>
      <c r="E18" s="13" t="s">
        <v>115</v>
      </c>
      <c r="F18" s="40">
        <f t="shared" si="0"/>
        <v>0.3</v>
      </c>
      <c r="G18" s="45"/>
      <c r="H18" s="45"/>
      <c r="I18" s="119" t="s">
        <v>116</v>
      </c>
      <c r="J18" s="98">
        <v>0.3</v>
      </c>
      <c r="K18" s="101">
        <v>0</v>
      </c>
    </row>
    <row r="19" spans="1:11" ht="31.5" customHeight="1" x14ac:dyDescent="0.25">
      <c r="A19" s="267"/>
      <c r="B19" s="45"/>
      <c r="C19" s="44"/>
      <c r="D19" s="99">
        <v>0.27</v>
      </c>
      <c r="E19" s="14" t="s">
        <v>27</v>
      </c>
      <c r="F19" s="40">
        <f t="shared" si="0"/>
        <v>0.27</v>
      </c>
      <c r="G19" s="45"/>
      <c r="H19" s="45"/>
      <c r="I19" s="121" t="s">
        <v>27</v>
      </c>
      <c r="J19" s="99">
        <v>0.27</v>
      </c>
      <c r="K19" s="101">
        <v>0</v>
      </c>
    </row>
    <row r="20" spans="1:11" x14ac:dyDescent="0.25">
      <c r="A20" s="267"/>
      <c r="B20" s="45"/>
      <c r="C20" s="44"/>
      <c r="D20" s="98">
        <v>0.63</v>
      </c>
      <c r="E20" s="13" t="s">
        <v>113</v>
      </c>
      <c r="F20" s="40">
        <f t="shared" si="0"/>
        <v>0.63</v>
      </c>
      <c r="G20" s="45"/>
      <c r="H20" s="45"/>
      <c r="I20" s="119" t="s">
        <v>113</v>
      </c>
      <c r="J20" s="98">
        <v>0.63</v>
      </c>
      <c r="K20" s="101">
        <v>0</v>
      </c>
    </row>
    <row r="21" spans="1:11" ht="30" x14ac:dyDescent="0.25">
      <c r="A21" s="267"/>
      <c r="B21" s="45"/>
      <c r="C21" s="44"/>
      <c r="D21" s="98">
        <v>1.1399999999999999</v>
      </c>
      <c r="E21" s="13" t="s">
        <v>28</v>
      </c>
      <c r="F21" s="40">
        <f t="shared" si="0"/>
        <v>1.1399999999999999</v>
      </c>
      <c r="G21" s="45"/>
      <c r="H21" s="45"/>
      <c r="I21" s="119" t="s">
        <v>28</v>
      </c>
      <c r="J21" s="98">
        <v>1.1399999999999999</v>
      </c>
      <c r="K21" s="101">
        <v>0</v>
      </c>
    </row>
    <row r="22" spans="1:11" x14ac:dyDescent="0.25">
      <c r="A22" s="267"/>
      <c r="B22" s="45"/>
      <c r="C22" s="44"/>
      <c r="D22" s="98">
        <v>1.165</v>
      </c>
      <c r="E22" s="13" t="s">
        <v>29</v>
      </c>
      <c r="F22" s="40">
        <f t="shared" si="0"/>
        <v>1.165</v>
      </c>
      <c r="G22" s="45"/>
      <c r="H22" s="45"/>
      <c r="I22" s="119" t="s">
        <v>29</v>
      </c>
      <c r="J22" s="98">
        <v>1.165</v>
      </c>
      <c r="K22" s="101">
        <v>0</v>
      </c>
    </row>
    <row r="23" spans="1:11" x14ac:dyDescent="0.25">
      <c r="A23" s="267"/>
      <c r="B23" s="45"/>
      <c r="C23" s="44"/>
      <c r="D23" s="98">
        <v>2.4540000000000002</v>
      </c>
      <c r="E23" s="13" t="s">
        <v>30</v>
      </c>
      <c r="F23" s="40">
        <f t="shared" si="0"/>
        <v>2.4540000000000002</v>
      </c>
      <c r="G23" s="45"/>
      <c r="H23" s="45"/>
      <c r="I23" s="119" t="s">
        <v>30</v>
      </c>
      <c r="J23" s="98">
        <v>2.4540000000000002</v>
      </c>
      <c r="K23" s="101">
        <v>0</v>
      </c>
    </row>
    <row r="24" spans="1:11" x14ac:dyDescent="0.25">
      <c r="A24" s="267"/>
      <c r="B24" s="45"/>
      <c r="C24" s="45"/>
      <c r="D24" s="100">
        <v>0.19</v>
      </c>
      <c r="E24" s="48" t="s">
        <v>31</v>
      </c>
      <c r="F24" s="40">
        <f t="shared" si="0"/>
        <v>0.19</v>
      </c>
      <c r="G24" s="45"/>
      <c r="H24" s="45"/>
      <c r="I24" s="122" t="s">
        <v>31</v>
      </c>
      <c r="J24" s="100">
        <v>0.19</v>
      </c>
      <c r="K24" s="101">
        <v>0</v>
      </c>
    </row>
    <row r="25" spans="1:11" x14ac:dyDescent="0.25">
      <c r="A25" s="267"/>
      <c r="B25" s="45"/>
      <c r="C25" s="45"/>
      <c r="D25" s="101">
        <v>0.19</v>
      </c>
      <c r="E25" s="45" t="s">
        <v>32</v>
      </c>
      <c r="F25" s="40">
        <f t="shared" si="0"/>
        <v>0.19</v>
      </c>
      <c r="G25" s="45"/>
      <c r="H25" s="45"/>
      <c r="I25" s="123" t="s">
        <v>32</v>
      </c>
      <c r="J25" s="101">
        <v>0.19</v>
      </c>
      <c r="K25" s="101">
        <v>0</v>
      </c>
    </row>
    <row r="26" spans="1:11" ht="36" customHeight="1" x14ac:dyDescent="0.3">
      <c r="A26" s="267"/>
      <c r="B26" s="52" t="s">
        <v>33</v>
      </c>
      <c r="C26" s="45"/>
      <c r="D26" s="101">
        <v>2.2000000000000002</v>
      </c>
      <c r="E26" s="53" t="s">
        <v>34</v>
      </c>
      <c r="F26" s="40">
        <f t="shared" si="0"/>
        <v>2.2000000000000002</v>
      </c>
      <c r="G26" s="45"/>
      <c r="H26" s="53"/>
      <c r="I26" s="124" t="s">
        <v>34</v>
      </c>
      <c r="J26" s="101">
        <v>2.2000000000000002</v>
      </c>
      <c r="K26" s="101">
        <v>0</v>
      </c>
    </row>
    <row r="27" spans="1:11" ht="29.25" customHeight="1" x14ac:dyDescent="0.25">
      <c r="A27" s="267"/>
      <c r="B27" s="45"/>
      <c r="C27" s="45"/>
      <c r="D27" s="101">
        <v>2</v>
      </c>
      <c r="E27" s="53" t="s">
        <v>34</v>
      </c>
      <c r="F27" s="40">
        <f t="shared" si="0"/>
        <v>2</v>
      </c>
      <c r="G27" s="45"/>
      <c r="H27" s="45"/>
      <c r="I27" s="124" t="s">
        <v>34</v>
      </c>
      <c r="J27" s="101">
        <v>2</v>
      </c>
      <c r="K27" s="101">
        <v>0</v>
      </c>
    </row>
    <row r="28" spans="1:11" ht="46.5" customHeight="1" x14ac:dyDescent="0.25">
      <c r="A28" s="267"/>
      <c r="B28" s="45"/>
      <c r="C28" s="45"/>
      <c r="D28" s="101">
        <v>0.69499999999999995</v>
      </c>
      <c r="E28" s="55" t="s">
        <v>118</v>
      </c>
      <c r="F28" s="40">
        <f t="shared" si="0"/>
        <v>0.69499999999999995</v>
      </c>
      <c r="G28" s="45"/>
      <c r="H28" s="45"/>
      <c r="I28" s="125" t="s">
        <v>118</v>
      </c>
      <c r="J28" s="101">
        <v>0.69499999999999995</v>
      </c>
      <c r="K28" s="101">
        <v>0</v>
      </c>
    </row>
    <row r="29" spans="1:11" ht="30.75" customHeight="1" x14ac:dyDescent="0.25">
      <c r="A29" s="267"/>
      <c r="B29" s="45"/>
      <c r="C29" s="45"/>
      <c r="D29" s="101">
        <f>0.3+0.3</f>
        <v>0.6</v>
      </c>
      <c r="E29" s="55" t="s">
        <v>119</v>
      </c>
      <c r="F29" s="40">
        <f t="shared" si="0"/>
        <v>0.6</v>
      </c>
      <c r="G29" s="45"/>
      <c r="H29" s="45"/>
      <c r="I29" s="125" t="s">
        <v>35</v>
      </c>
      <c r="J29" s="101">
        <f>0.3+0.3</f>
        <v>0.6</v>
      </c>
      <c r="K29" s="101">
        <v>0</v>
      </c>
    </row>
    <row r="30" spans="1:11" x14ac:dyDescent="0.25">
      <c r="A30" s="267"/>
      <c r="B30" s="45"/>
      <c r="C30" s="45"/>
      <c r="D30" s="101">
        <f>0.14+0.14</f>
        <v>0.28000000000000003</v>
      </c>
      <c r="E30" s="45" t="s">
        <v>24</v>
      </c>
      <c r="F30" s="40">
        <f t="shared" si="0"/>
        <v>0.28000000000000003</v>
      </c>
      <c r="G30" s="45"/>
      <c r="H30" s="45"/>
      <c r="I30" s="123" t="s">
        <v>24</v>
      </c>
      <c r="J30" s="101">
        <f>0.14+0.14</f>
        <v>0.28000000000000003</v>
      </c>
      <c r="K30" s="101">
        <v>0</v>
      </c>
    </row>
    <row r="31" spans="1:11" x14ac:dyDescent="0.25">
      <c r="A31" s="267"/>
      <c r="B31" s="45"/>
      <c r="C31" s="45"/>
      <c r="D31" s="101">
        <f>1.462</f>
        <v>1.462</v>
      </c>
      <c r="E31" s="45" t="s">
        <v>36</v>
      </c>
      <c r="F31" s="40">
        <f t="shared" si="0"/>
        <v>1.462</v>
      </c>
      <c r="G31" s="45"/>
      <c r="H31" s="45"/>
      <c r="I31" s="123" t="s">
        <v>36</v>
      </c>
      <c r="J31" s="101">
        <f>1.462</f>
        <v>1.462</v>
      </c>
      <c r="K31" s="101">
        <v>0</v>
      </c>
    </row>
    <row r="32" spans="1:11" ht="15.75" customHeight="1" x14ac:dyDescent="0.25">
      <c r="A32" s="267"/>
      <c r="B32" s="45"/>
      <c r="C32" s="45"/>
      <c r="D32" s="101">
        <f>4.154*2</f>
        <v>8.3079999999999998</v>
      </c>
      <c r="E32" s="55" t="s">
        <v>37</v>
      </c>
      <c r="F32" s="40">
        <f t="shared" si="0"/>
        <v>8.3079999999999998</v>
      </c>
      <c r="G32" s="45"/>
      <c r="H32" s="45"/>
      <c r="I32" s="125" t="s">
        <v>37</v>
      </c>
      <c r="J32" s="101">
        <f>4.154*2</f>
        <v>8.3079999999999998</v>
      </c>
      <c r="K32" s="101">
        <v>0</v>
      </c>
    </row>
    <row r="33" spans="1:11" ht="55.5" customHeight="1" x14ac:dyDescent="0.25">
      <c r="A33" s="267"/>
      <c r="B33" s="45"/>
      <c r="C33" s="45"/>
      <c r="D33" s="101">
        <f>20.78</f>
        <v>20.78</v>
      </c>
      <c r="E33" s="13" t="s">
        <v>23</v>
      </c>
      <c r="F33" s="40">
        <f t="shared" si="0"/>
        <v>20.78</v>
      </c>
      <c r="G33" s="45"/>
      <c r="H33" s="45"/>
      <c r="I33" s="119" t="s">
        <v>23</v>
      </c>
      <c r="J33" s="101">
        <f>20.78</f>
        <v>20.78</v>
      </c>
      <c r="K33" s="101">
        <v>0</v>
      </c>
    </row>
    <row r="34" spans="1:11" ht="32.25" customHeight="1" x14ac:dyDescent="0.25">
      <c r="A34" s="267"/>
      <c r="B34" s="45"/>
      <c r="C34" s="45"/>
      <c r="D34" s="101">
        <v>0.6</v>
      </c>
      <c r="E34" s="13" t="s">
        <v>38</v>
      </c>
      <c r="F34" s="40">
        <f t="shared" si="0"/>
        <v>0.6</v>
      </c>
      <c r="G34" s="45"/>
      <c r="H34" s="45"/>
      <c r="I34" s="119" t="s">
        <v>38</v>
      </c>
      <c r="J34" s="101">
        <v>0.6</v>
      </c>
      <c r="K34" s="101">
        <v>0</v>
      </c>
    </row>
    <row r="35" spans="1:11" ht="13.5" customHeight="1" x14ac:dyDescent="0.25">
      <c r="A35" s="267"/>
      <c r="B35" s="45"/>
      <c r="C35" s="45"/>
      <c r="D35" s="101">
        <v>0.25</v>
      </c>
      <c r="E35" s="13" t="s">
        <v>39</v>
      </c>
      <c r="F35" s="40">
        <f t="shared" si="0"/>
        <v>0.25</v>
      </c>
      <c r="G35" s="45"/>
      <c r="H35" s="45"/>
      <c r="I35" s="119" t="s">
        <v>39</v>
      </c>
      <c r="J35" s="101">
        <v>0.25</v>
      </c>
      <c r="K35" s="101">
        <v>0</v>
      </c>
    </row>
    <row r="36" spans="1:11" ht="35.25" customHeight="1" x14ac:dyDescent="0.25">
      <c r="A36" s="267"/>
      <c r="B36" s="45"/>
      <c r="C36" s="45"/>
      <c r="D36" s="101">
        <f>0.285+0.27</f>
        <v>0.55499999999999994</v>
      </c>
      <c r="E36" s="13" t="s">
        <v>40</v>
      </c>
      <c r="F36" s="40">
        <f t="shared" si="0"/>
        <v>0.55499999999999994</v>
      </c>
      <c r="G36" s="45"/>
      <c r="H36" s="45"/>
      <c r="I36" s="119" t="s">
        <v>40</v>
      </c>
      <c r="J36" s="101">
        <f>0.285+0.27</f>
        <v>0.55499999999999994</v>
      </c>
      <c r="K36" s="101">
        <v>0</v>
      </c>
    </row>
    <row r="37" spans="1:11" ht="35.25" customHeight="1" x14ac:dyDescent="0.25">
      <c r="A37" s="267"/>
      <c r="B37" s="45"/>
      <c r="C37" s="45"/>
      <c r="D37" s="101">
        <f>0.27+0.285</f>
        <v>0.55499999999999994</v>
      </c>
      <c r="E37" s="14" t="s">
        <v>27</v>
      </c>
      <c r="F37" s="40">
        <f t="shared" si="0"/>
        <v>0.55499999999999994</v>
      </c>
      <c r="G37" s="45"/>
      <c r="H37" s="45"/>
      <c r="I37" s="121" t="s">
        <v>27</v>
      </c>
      <c r="J37" s="101">
        <f>0.27+0.285</f>
        <v>0.55499999999999994</v>
      </c>
      <c r="K37" s="101">
        <v>0</v>
      </c>
    </row>
    <row r="38" spans="1:11" x14ac:dyDescent="0.25">
      <c r="A38" s="267"/>
      <c r="B38" s="45"/>
      <c r="C38" s="45"/>
      <c r="D38" s="101">
        <v>1.1359999999999999</v>
      </c>
      <c r="E38" s="13" t="s">
        <v>41</v>
      </c>
      <c r="F38" s="40">
        <f t="shared" si="0"/>
        <v>1.1359999999999999</v>
      </c>
      <c r="G38" s="45"/>
      <c r="H38" s="45"/>
      <c r="I38" s="119" t="s">
        <v>41</v>
      </c>
      <c r="J38" s="101">
        <v>1.1359999999999999</v>
      </c>
      <c r="K38" s="101">
        <v>0</v>
      </c>
    </row>
    <row r="39" spans="1:11" ht="33" customHeight="1" x14ac:dyDescent="0.25">
      <c r="A39" s="267"/>
      <c r="B39" s="45"/>
      <c r="C39" s="45"/>
      <c r="D39" s="101">
        <v>1.28</v>
      </c>
      <c r="E39" s="13" t="s">
        <v>42</v>
      </c>
      <c r="F39" s="40">
        <f t="shared" si="0"/>
        <v>1.28</v>
      </c>
      <c r="G39" s="45"/>
      <c r="H39" s="45"/>
      <c r="I39" s="119" t="s">
        <v>42</v>
      </c>
      <c r="J39" s="101">
        <v>1.28</v>
      </c>
      <c r="K39" s="101">
        <v>0</v>
      </c>
    </row>
    <row r="40" spans="1:11" ht="31.5" customHeight="1" x14ac:dyDescent="0.25">
      <c r="A40" s="267"/>
      <c r="B40" s="45"/>
      <c r="C40" s="45"/>
      <c r="D40" s="101">
        <v>1.1399999999999999</v>
      </c>
      <c r="E40" s="13" t="s">
        <v>28</v>
      </c>
      <c r="F40" s="40">
        <f t="shared" si="0"/>
        <v>1.1399999999999999</v>
      </c>
      <c r="G40" s="45"/>
      <c r="H40" s="45"/>
      <c r="I40" s="119" t="s">
        <v>28</v>
      </c>
      <c r="J40" s="101">
        <v>1.1399999999999999</v>
      </c>
      <c r="K40" s="101">
        <v>0</v>
      </c>
    </row>
    <row r="41" spans="1:11" ht="21" customHeight="1" x14ac:dyDescent="0.25">
      <c r="A41" s="267"/>
      <c r="B41" s="45"/>
      <c r="C41" s="45"/>
      <c r="D41" s="101">
        <v>2.75</v>
      </c>
      <c r="E41" s="13" t="s">
        <v>43</v>
      </c>
      <c r="F41" s="40">
        <f t="shared" si="0"/>
        <v>2.75</v>
      </c>
      <c r="G41" s="45"/>
      <c r="H41" s="45"/>
      <c r="I41" s="119" t="s">
        <v>43</v>
      </c>
      <c r="J41" s="101">
        <v>2.75</v>
      </c>
      <c r="K41" s="101">
        <v>0</v>
      </c>
    </row>
    <row r="42" spans="1:11" ht="29.25" customHeight="1" x14ac:dyDescent="0.25">
      <c r="A42" s="267"/>
      <c r="B42" s="45"/>
      <c r="C42" s="45"/>
      <c r="D42" s="101">
        <v>2.33</v>
      </c>
      <c r="E42" s="55" t="s">
        <v>44</v>
      </c>
      <c r="F42" s="40">
        <f t="shared" si="0"/>
        <v>2.33</v>
      </c>
      <c r="G42" s="45"/>
      <c r="H42" s="45"/>
      <c r="I42" s="125" t="s">
        <v>44</v>
      </c>
      <c r="J42" s="101">
        <v>2.33</v>
      </c>
      <c r="K42" s="101">
        <v>0</v>
      </c>
    </row>
    <row r="43" spans="1:11" ht="54" customHeight="1" x14ac:dyDescent="0.3">
      <c r="A43" s="267"/>
      <c r="B43" s="52" t="s">
        <v>45</v>
      </c>
      <c r="C43" s="45"/>
      <c r="D43" s="102">
        <v>26.299499999999998</v>
      </c>
      <c r="E43" s="55" t="s">
        <v>46</v>
      </c>
      <c r="F43" s="43">
        <f t="shared" si="0"/>
        <v>26.299499999999998</v>
      </c>
      <c r="G43" s="45"/>
      <c r="H43" s="45"/>
      <c r="I43" s="125" t="s">
        <v>46</v>
      </c>
      <c r="J43" s="102">
        <v>26.299499999999998</v>
      </c>
      <c r="K43" s="126">
        <v>0</v>
      </c>
    </row>
    <row r="44" spans="1:11" ht="75" x14ac:dyDescent="0.3">
      <c r="A44" s="267"/>
      <c r="B44" s="52" t="s">
        <v>47</v>
      </c>
      <c r="C44" s="45"/>
      <c r="D44" s="101">
        <f>3.00392+2.83785+2.88258</f>
        <v>8.7243500000000012</v>
      </c>
      <c r="E44" s="55" t="s">
        <v>51</v>
      </c>
      <c r="F44" s="40">
        <f t="shared" si="0"/>
        <v>8.7243500000000012</v>
      </c>
      <c r="G44" s="45"/>
      <c r="H44" s="58"/>
      <c r="I44" s="125" t="s">
        <v>51</v>
      </c>
      <c r="J44" s="101">
        <f>3.00392+2.59432</f>
        <v>5.5982400000000005</v>
      </c>
      <c r="K44" s="101">
        <f>2.83785+0.28826</f>
        <v>3.1261100000000002</v>
      </c>
    </row>
    <row r="45" spans="1:11" x14ac:dyDescent="0.25">
      <c r="A45" s="267"/>
      <c r="B45" s="55"/>
      <c r="C45" s="45"/>
      <c r="D45" s="101">
        <v>2.4099999999999998E-3</v>
      </c>
      <c r="E45" s="55" t="s">
        <v>52</v>
      </c>
      <c r="F45" s="40">
        <f t="shared" si="0"/>
        <v>2.4099999999999998E-3</v>
      </c>
      <c r="G45" s="45"/>
      <c r="H45" s="58"/>
      <c r="I45" s="125" t="s">
        <v>52</v>
      </c>
      <c r="J45" s="101">
        <v>0</v>
      </c>
      <c r="K45" s="101">
        <v>2.4099999999999998E-3</v>
      </c>
    </row>
    <row r="46" spans="1:11" x14ac:dyDescent="0.25">
      <c r="A46" s="267"/>
      <c r="B46" s="55"/>
      <c r="C46" s="45"/>
      <c r="D46" s="101">
        <v>3.739E-2</v>
      </c>
      <c r="E46" s="55" t="s">
        <v>53</v>
      </c>
      <c r="F46" s="40">
        <f t="shared" si="0"/>
        <v>3.739E-2</v>
      </c>
      <c r="G46" s="45"/>
      <c r="H46" s="58"/>
      <c r="I46" s="125" t="s">
        <v>53</v>
      </c>
      <c r="J46" s="101">
        <f>0.03552</f>
        <v>3.5520000000000003E-2</v>
      </c>
      <c r="K46" s="101">
        <f>0.00187</f>
        <v>1.8699999999999999E-3</v>
      </c>
    </row>
    <row r="47" spans="1:11" ht="17.25" customHeight="1" x14ac:dyDescent="0.25">
      <c r="A47" s="267"/>
      <c r="B47" s="55"/>
      <c r="C47" s="45"/>
      <c r="D47" s="103">
        <v>1.917E-2</v>
      </c>
      <c r="E47" s="55" t="s">
        <v>107</v>
      </c>
      <c r="F47" s="40">
        <f t="shared" si="0"/>
        <v>1.917E-2</v>
      </c>
      <c r="G47" s="45"/>
      <c r="H47" s="58"/>
      <c r="I47" s="125" t="s">
        <v>107</v>
      </c>
      <c r="J47" s="103">
        <v>1.917E-2</v>
      </c>
      <c r="K47" s="101">
        <v>0</v>
      </c>
    </row>
    <row r="48" spans="1:11" ht="15.75" x14ac:dyDescent="0.25">
      <c r="A48" s="267"/>
      <c r="B48" s="55"/>
      <c r="C48" s="45"/>
      <c r="D48" s="103">
        <v>5.1700000000000003E-2</v>
      </c>
      <c r="E48" s="55" t="s">
        <v>54</v>
      </c>
      <c r="F48" s="40">
        <f t="shared" si="0"/>
        <v>5.1700000000000003E-2</v>
      </c>
      <c r="G48" s="45"/>
      <c r="H48" s="58"/>
      <c r="I48" s="125" t="s">
        <v>54</v>
      </c>
      <c r="J48" s="103">
        <v>5.1700000000000003E-2</v>
      </c>
      <c r="K48" s="101">
        <v>0</v>
      </c>
    </row>
    <row r="49" spans="1:11" ht="17.25" customHeight="1" x14ac:dyDescent="0.25">
      <c r="A49" s="267"/>
      <c r="B49" s="55"/>
      <c r="C49" s="45"/>
      <c r="D49" s="103">
        <f>0.24516+0.26711+0.24289</f>
        <v>0.75516000000000005</v>
      </c>
      <c r="E49" s="55" t="s">
        <v>55</v>
      </c>
      <c r="F49" s="40">
        <f t="shared" si="0"/>
        <v>0.75516000000000005</v>
      </c>
      <c r="G49" s="45"/>
      <c r="H49" s="58"/>
      <c r="I49" s="125" t="s">
        <v>55</v>
      </c>
      <c r="J49" s="101">
        <f>0.24516+0.26711+0.12145</f>
        <v>0.63372000000000006</v>
      </c>
      <c r="K49" s="101">
        <f>0.12144</f>
        <v>0.12144000000000001</v>
      </c>
    </row>
    <row r="50" spans="1:11" ht="15.75" x14ac:dyDescent="0.25">
      <c r="A50" s="267"/>
      <c r="B50" s="55"/>
      <c r="C50" s="45"/>
      <c r="D50" s="103">
        <f>0.8294</f>
        <v>0.82940000000000003</v>
      </c>
      <c r="E50" s="55" t="s">
        <v>56</v>
      </c>
      <c r="F50" s="40">
        <f t="shared" si="0"/>
        <v>0.82940000000000003</v>
      </c>
      <c r="G50" s="45"/>
      <c r="H50" s="58"/>
      <c r="I50" s="125" t="s">
        <v>56</v>
      </c>
      <c r="J50" s="101">
        <f>0.26158</f>
        <v>0.26157999999999998</v>
      </c>
      <c r="K50" s="101">
        <f>0.56782</f>
        <v>0.56781999999999999</v>
      </c>
    </row>
    <row r="51" spans="1:11" ht="17.25" customHeight="1" x14ac:dyDescent="0.25">
      <c r="A51" s="267"/>
      <c r="B51" s="55"/>
      <c r="C51" s="45"/>
      <c r="D51" s="103">
        <f>0.68266+0.62616+1.87853</f>
        <v>3.1873500000000003</v>
      </c>
      <c r="E51" s="55" t="s">
        <v>57</v>
      </c>
      <c r="F51" s="40">
        <f t="shared" si="0"/>
        <v>3.1873500000000003</v>
      </c>
      <c r="G51" s="45"/>
      <c r="H51" s="58"/>
      <c r="I51" s="125" t="s">
        <v>57</v>
      </c>
      <c r="J51" s="101">
        <f>0.68266+0.62616+0.06262</f>
        <v>1.37144</v>
      </c>
      <c r="K51" s="101">
        <v>1.8159099999999999</v>
      </c>
    </row>
    <row r="52" spans="1:11" ht="15.75" x14ac:dyDescent="0.25">
      <c r="A52" s="267"/>
      <c r="B52" s="55"/>
      <c r="C52" s="45"/>
      <c r="D52" s="103">
        <v>0.51400000000000001</v>
      </c>
      <c r="E52" s="55" t="s">
        <v>108</v>
      </c>
      <c r="F52" s="40">
        <f t="shared" si="0"/>
        <v>0.51400000000000001</v>
      </c>
      <c r="G52" s="45"/>
      <c r="H52" s="58"/>
      <c r="I52" s="125" t="s">
        <v>108</v>
      </c>
      <c r="J52" s="101">
        <f>0.257</f>
        <v>0.25700000000000001</v>
      </c>
      <c r="K52" s="101">
        <f>0.257</f>
        <v>0.25700000000000001</v>
      </c>
    </row>
    <row r="53" spans="1:11" ht="13.5" customHeight="1" x14ac:dyDescent="0.25">
      <c r="A53" s="267"/>
      <c r="B53" s="55"/>
      <c r="C53" s="45"/>
      <c r="D53" s="103">
        <v>1.3168500000000001</v>
      </c>
      <c r="E53" s="55" t="s">
        <v>58</v>
      </c>
      <c r="F53" s="40">
        <f t="shared" si="0"/>
        <v>1.3168500000000001</v>
      </c>
      <c r="G53" s="45"/>
      <c r="H53" s="58"/>
      <c r="I53" s="125" t="s">
        <v>58</v>
      </c>
      <c r="J53" s="101">
        <v>0</v>
      </c>
      <c r="K53" s="103">
        <v>1.3168500000000001</v>
      </c>
    </row>
    <row r="54" spans="1:11" ht="16.5" customHeight="1" x14ac:dyDescent="0.25">
      <c r="A54" s="267"/>
      <c r="B54" s="55"/>
      <c r="C54" s="45"/>
      <c r="D54" s="101">
        <v>0.88980000000000004</v>
      </c>
      <c r="E54" s="55" t="s">
        <v>59</v>
      </c>
      <c r="F54" s="40">
        <f t="shared" si="0"/>
        <v>0.88980000000000004</v>
      </c>
      <c r="G54" s="45"/>
      <c r="H54" s="58"/>
      <c r="I54" s="125" t="s">
        <v>59</v>
      </c>
      <c r="J54" s="101">
        <v>5.9319999999999998E-2</v>
      </c>
      <c r="K54" s="101">
        <f>0.83048</f>
        <v>0.83048</v>
      </c>
    </row>
    <row r="55" spans="1:11" ht="14.25" customHeight="1" x14ac:dyDescent="0.25">
      <c r="A55" s="267"/>
      <c r="B55" s="55"/>
      <c r="C55" s="45"/>
      <c r="D55" s="103">
        <f>0.11771+0.0749</f>
        <v>0.19261</v>
      </c>
      <c r="E55" s="55" t="s">
        <v>109</v>
      </c>
      <c r="F55" s="40">
        <f t="shared" si="0"/>
        <v>0.19261</v>
      </c>
      <c r="G55" s="45"/>
      <c r="H55" s="58"/>
      <c r="I55" s="125" t="s">
        <v>109</v>
      </c>
      <c r="J55" s="103">
        <f>0.11771+0.0749</f>
        <v>0.19261</v>
      </c>
      <c r="K55" s="101">
        <v>0</v>
      </c>
    </row>
    <row r="56" spans="1:11" ht="15" customHeight="1" x14ac:dyDescent="0.25">
      <c r="A56" s="267"/>
      <c r="B56" s="55"/>
      <c r="C56" s="45"/>
      <c r="D56" s="103">
        <f>0.0737+0.07486+0.98986+0.03296</f>
        <v>1.1713800000000001</v>
      </c>
      <c r="E56" s="55" t="s">
        <v>60</v>
      </c>
      <c r="F56" s="40">
        <f t="shared" si="0"/>
        <v>1.1713800000000001</v>
      </c>
      <c r="G56" s="45"/>
      <c r="H56" s="58"/>
      <c r="I56" s="125" t="s">
        <v>60</v>
      </c>
      <c r="J56" s="101">
        <f>2.1018+0.01483-1.73853</f>
        <v>0.37809999999999988</v>
      </c>
      <c r="K56" s="101">
        <f>0.77515+0.01813</f>
        <v>0.79327999999999999</v>
      </c>
    </row>
    <row r="57" spans="1:11" ht="14.25" customHeight="1" x14ac:dyDescent="0.25">
      <c r="A57" s="267"/>
      <c r="B57" s="55"/>
      <c r="C57" s="45"/>
      <c r="D57" s="103">
        <f>0.02842</f>
        <v>2.8420000000000001E-2</v>
      </c>
      <c r="E57" s="55" t="s">
        <v>61</v>
      </c>
      <c r="F57" s="40">
        <f t="shared" si="0"/>
        <v>2.8420000000000001E-2</v>
      </c>
      <c r="G57" s="45"/>
      <c r="H57" s="58"/>
      <c r="I57" s="125" t="s">
        <v>61</v>
      </c>
      <c r="J57" s="101">
        <f>0.01421</f>
        <v>1.421E-2</v>
      </c>
      <c r="K57" s="101">
        <f>0.01421</f>
        <v>1.421E-2</v>
      </c>
    </row>
    <row r="58" spans="1:11" ht="14.25" customHeight="1" x14ac:dyDescent="0.25">
      <c r="A58" s="267"/>
      <c r="B58" s="55"/>
      <c r="C58" s="45"/>
      <c r="D58" s="103">
        <f>0.01864</f>
        <v>1.864E-2</v>
      </c>
      <c r="E58" s="55" t="s">
        <v>62</v>
      </c>
      <c r="F58" s="40">
        <f t="shared" si="0"/>
        <v>1.864E-2</v>
      </c>
      <c r="G58" s="45"/>
      <c r="H58" s="58"/>
      <c r="I58" s="125" t="s">
        <v>62</v>
      </c>
      <c r="J58" s="103">
        <f>0.01864</f>
        <v>1.864E-2</v>
      </c>
      <c r="K58" s="101">
        <v>0</v>
      </c>
    </row>
    <row r="59" spans="1:11" ht="15.75" x14ac:dyDescent="0.25">
      <c r="A59" s="267"/>
      <c r="B59" s="55"/>
      <c r="C59" s="45"/>
      <c r="D59" s="103">
        <v>0.34721000000000002</v>
      </c>
      <c r="E59" s="55" t="s">
        <v>63</v>
      </c>
      <c r="F59" s="40">
        <f t="shared" si="0"/>
        <v>0.34721000000000002</v>
      </c>
      <c r="G59" s="45"/>
      <c r="H59" s="58"/>
      <c r="I59" s="125" t="s">
        <v>63</v>
      </c>
      <c r="J59" s="103">
        <v>0.34721000000000002</v>
      </c>
      <c r="K59" s="101">
        <v>0</v>
      </c>
    </row>
    <row r="60" spans="1:11" ht="15.75" customHeight="1" x14ac:dyDescent="0.25">
      <c r="A60" s="267"/>
      <c r="B60" s="55"/>
      <c r="C60" s="45"/>
      <c r="D60" s="103">
        <f>0.07881+0.47283</f>
        <v>0.55164000000000002</v>
      </c>
      <c r="E60" s="55" t="s">
        <v>64</v>
      </c>
      <c r="F60" s="40">
        <f t="shared" si="0"/>
        <v>0.55164000000000002</v>
      </c>
      <c r="G60" s="45"/>
      <c r="H60" s="58"/>
      <c r="I60" s="125" t="s">
        <v>64</v>
      </c>
      <c r="J60" s="101">
        <f>0.51223</f>
        <v>0.51222999999999996</v>
      </c>
      <c r="K60" s="101">
        <v>3.9410000000000001E-2</v>
      </c>
    </row>
    <row r="61" spans="1:11" ht="13.5" customHeight="1" x14ac:dyDescent="0.25">
      <c r="A61" s="267"/>
      <c r="B61" s="55"/>
      <c r="C61" s="45"/>
      <c r="D61" s="103">
        <v>0.35499999999999998</v>
      </c>
      <c r="E61" s="55" t="s">
        <v>65</v>
      </c>
      <c r="F61" s="40">
        <f t="shared" si="0"/>
        <v>0.35499999999999998</v>
      </c>
      <c r="G61" s="45"/>
      <c r="H61" s="58"/>
      <c r="I61" s="125" t="s">
        <v>65</v>
      </c>
      <c r="J61" s="101">
        <v>0</v>
      </c>
      <c r="K61" s="103">
        <v>0.35499999999999998</v>
      </c>
    </row>
    <row r="62" spans="1:11" ht="15.75" x14ac:dyDescent="0.25">
      <c r="A62" s="267"/>
      <c r="B62" s="55"/>
      <c r="C62" s="45"/>
      <c r="D62" s="103">
        <f>0.20965</f>
        <v>0.20965</v>
      </c>
      <c r="E62" s="55" t="s">
        <v>66</v>
      </c>
      <c r="F62" s="40">
        <f t="shared" si="0"/>
        <v>0.20965</v>
      </c>
      <c r="G62" s="45"/>
      <c r="H62" s="58"/>
      <c r="I62" s="125" t="s">
        <v>66</v>
      </c>
      <c r="J62" s="101">
        <v>0</v>
      </c>
      <c r="K62" s="103">
        <f>0.20965</f>
        <v>0.20965</v>
      </c>
    </row>
    <row r="63" spans="1:11" ht="13.5" customHeight="1" x14ac:dyDescent="0.25">
      <c r="A63" s="267"/>
      <c r="B63" s="55"/>
      <c r="C63" s="45"/>
      <c r="D63" s="103">
        <f>0.20143</f>
        <v>0.20143</v>
      </c>
      <c r="E63" s="55" t="s">
        <v>67</v>
      </c>
      <c r="F63" s="40">
        <f t="shared" si="0"/>
        <v>0.20143</v>
      </c>
      <c r="G63" s="45"/>
      <c r="H63" s="58"/>
      <c r="I63" s="125" t="s">
        <v>67</v>
      </c>
      <c r="J63" s="103">
        <v>0</v>
      </c>
      <c r="K63" s="103">
        <f>0.20143</f>
        <v>0.20143</v>
      </c>
    </row>
    <row r="64" spans="1:11" ht="15.75" customHeight="1" x14ac:dyDescent="0.25">
      <c r="A64" s="267"/>
      <c r="B64" s="55"/>
      <c r="C64" s="45"/>
      <c r="D64" s="103">
        <f>1.2835</f>
        <v>1.2835000000000001</v>
      </c>
      <c r="E64" s="55" t="s">
        <v>68</v>
      </c>
      <c r="F64" s="40">
        <f t="shared" si="0"/>
        <v>1.2835000000000001</v>
      </c>
      <c r="G64" s="45"/>
      <c r="H64" s="58"/>
      <c r="I64" s="125" t="s">
        <v>68</v>
      </c>
      <c r="J64" s="101">
        <f>0.64175</f>
        <v>0.64175000000000004</v>
      </c>
      <c r="K64" s="101">
        <f>0.64175</f>
        <v>0.64175000000000004</v>
      </c>
    </row>
    <row r="65" spans="1:11" ht="16.5" customHeight="1" x14ac:dyDescent="0.25">
      <c r="A65" s="267"/>
      <c r="B65" s="55"/>
      <c r="C65" s="45"/>
      <c r="D65" s="103">
        <f>0.59265+0.01943+0.19319</f>
        <v>0.80526999999999993</v>
      </c>
      <c r="E65" s="55" t="s">
        <v>69</v>
      </c>
      <c r="F65" s="40">
        <f t="shared" si="0"/>
        <v>0.80526999999999993</v>
      </c>
      <c r="G65" s="45"/>
      <c r="H65" s="58"/>
      <c r="I65" s="125" t="s">
        <v>69</v>
      </c>
      <c r="J65" s="101">
        <f>0.42736</f>
        <v>0.42736000000000002</v>
      </c>
      <c r="K65" s="101">
        <f>0.37791</f>
        <v>0.37791000000000002</v>
      </c>
    </row>
    <row r="66" spans="1:11" ht="15.75" x14ac:dyDescent="0.25">
      <c r="A66" s="267"/>
      <c r="B66" s="55"/>
      <c r="C66" s="45"/>
      <c r="D66" s="103">
        <f>0.15089+0.294</f>
        <v>0.44489000000000001</v>
      </c>
      <c r="E66" s="55" t="s">
        <v>70</v>
      </c>
      <c r="F66" s="40">
        <f t="shared" si="0"/>
        <v>0.44489000000000001</v>
      </c>
      <c r="G66" s="45"/>
      <c r="H66" s="58"/>
      <c r="I66" s="125" t="s">
        <v>70</v>
      </c>
      <c r="J66" s="101">
        <f>0.33737</f>
        <v>0.33737</v>
      </c>
      <c r="K66" s="101">
        <f>0.10752</f>
        <v>0.10752</v>
      </c>
    </row>
    <row r="67" spans="1:11" ht="17.25" customHeight="1" x14ac:dyDescent="0.25">
      <c r="A67" s="267"/>
      <c r="B67" s="55"/>
      <c r="C67" s="45"/>
      <c r="D67" s="103">
        <f>0.24717</f>
        <v>0.24717</v>
      </c>
      <c r="E67" s="55" t="s">
        <v>71</v>
      </c>
      <c r="F67" s="40">
        <f t="shared" si="0"/>
        <v>0.24717</v>
      </c>
      <c r="G67" s="45"/>
      <c r="H67" s="58"/>
      <c r="I67" s="125" t="s">
        <v>71</v>
      </c>
      <c r="J67" s="101">
        <v>0</v>
      </c>
      <c r="K67" s="103">
        <f>0.24717</f>
        <v>0.24717</v>
      </c>
    </row>
    <row r="68" spans="1:11" ht="30.75" customHeight="1" x14ac:dyDescent="0.25">
      <c r="A68" s="267"/>
      <c r="B68" s="55"/>
      <c r="C68" s="45"/>
      <c r="D68" s="103">
        <f>0.32502</f>
        <v>0.32501999999999998</v>
      </c>
      <c r="E68" s="55" t="s">
        <v>120</v>
      </c>
      <c r="F68" s="40">
        <f t="shared" si="0"/>
        <v>0.32501999999999998</v>
      </c>
      <c r="G68" s="45"/>
      <c r="H68" s="58"/>
      <c r="I68" s="125" t="s">
        <v>120</v>
      </c>
      <c r="J68" s="101">
        <v>0</v>
      </c>
      <c r="K68" s="103">
        <f>0.32502</f>
        <v>0.32501999999999998</v>
      </c>
    </row>
    <row r="69" spans="1:11" ht="19.5" customHeight="1" x14ac:dyDescent="0.25">
      <c r="A69" s="267"/>
      <c r="B69" s="55"/>
      <c r="C69" s="45"/>
      <c r="D69" s="103">
        <f>4.2372</f>
        <v>4.2371999999999996</v>
      </c>
      <c r="E69" s="55" t="s">
        <v>72</v>
      </c>
      <c r="F69" s="40">
        <f t="shared" si="0"/>
        <v>4.2371999999999996</v>
      </c>
      <c r="G69" s="45"/>
      <c r="H69" s="58"/>
      <c r="I69" s="125" t="s">
        <v>72</v>
      </c>
      <c r="J69" s="101">
        <v>3.5310000000000001</v>
      </c>
      <c r="K69" s="101">
        <v>0.70620000000000005</v>
      </c>
    </row>
    <row r="70" spans="1:11" ht="16.5" customHeight="1" x14ac:dyDescent="0.25">
      <c r="A70" s="267"/>
      <c r="B70" s="55"/>
      <c r="C70" s="45"/>
      <c r="D70" s="101">
        <f>0.05484+0.1939</f>
        <v>0.24873999999999999</v>
      </c>
      <c r="E70" s="55" t="s">
        <v>73</v>
      </c>
      <c r="F70" s="40">
        <f t="shared" si="0"/>
        <v>0.24873999999999999</v>
      </c>
      <c r="G70" s="45"/>
      <c r="H70" s="58"/>
      <c r="I70" s="125" t="s">
        <v>73</v>
      </c>
      <c r="J70" s="101">
        <v>0.11748</v>
      </c>
      <c r="K70" s="101">
        <v>0.13125999999999999</v>
      </c>
    </row>
    <row r="71" spans="1:11" ht="12.75" customHeight="1" x14ac:dyDescent="0.25">
      <c r="A71" s="267"/>
      <c r="B71" s="55"/>
      <c r="C71" s="45"/>
      <c r="D71" s="103">
        <f>0.01744</f>
        <v>1.7440000000000001E-2</v>
      </c>
      <c r="E71" s="55" t="s">
        <v>74</v>
      </c>
      <c r="F71" s="40">
        <f t="shared" si="0"/>
        <v>1.7440000000000001E-2</v>
      </c>
      <c r="G71" s="45"/>
      <c r="H71" s="58"/>
      <c r="I71" s="125" t="s">
        <v>74</v>
      </c>
      <c r="J71" s="103">
        <f>0.01744</f>
        <v>1.7440000000000001E-2</v>
      </c>
      <c r="K71" s="101">
        <v>0</v>
      </c>
    </row>
    <row r="72" spans="1:11" ht="13.5" customHeight="1" x14ac:dyDescent="0.25">
      <c r="A72" s="267"/>
      <c r="B72" s="55"/>
      <c r="C72" s="45"/>
      <c r="D72" s="103">
        <v>0.27403</v>
      </c>
      <c r="E72" s="55" t="s">
        <v>75</v>
      </c>
      <c r="F72" s="40">
        <f t="shared" si="0"/>
        <v>0.27403</v>
      </c>
      <c r="G72" s="45"/>
      <c r="H72" s="58"/>
      <c r="I72" s="125" t="s">
        <v>75</v>
      </c>
      <c r="J72" s="101">
        <v>0</v>
      </c>
      <c r="K72" s="103">
        <v>0.27403</v>
      </c>
    </row>
    <row r="73" spans="1:11" ht="14.25" customHeight="1" x14ac:dyDescent="0.25">
      <c r="A73" s="267"/>
      <c r="B73" s="55"/>
      <c r="C73" s="45"/>
      <c r="D73" s="103">
        <f>0.11689+0.23377+0.99645+0.24156</f>
        <v>1.5886699999999998</v>
      </c>
      <c r="E73" s="55" t="s">
        <v>76</v>
      </c>
      <c r="F73" s="40">
        <f t="shared" si="0"/>
        <v>1.5886699999999998</v>
      </c>
      <c r="G73" s="45"/>
      <c r="H73" s="58"/>
      <c r="I73" s="125" t="s">
        <v>76</v>
      </c>
      <c r="J73" s="101">
        <v>0.97269000000000005</v>
      </c>
      <c r="K73" s="101">
        <v>0.61597999999999997</v>
      </c>
    </row>
    <row r="74" spans="1:11" ht="16.5" customHeight="1" x14ac:dyDescent="0.25">
      <c r="A74" s="267"/>
      <c r="B74" s="55"/>
      <c r="C74" s="45"/>
      <c r="D74" s="103">
        <v>3.8603499999999999</v>
      </c>
      <c r="E74" s="55" t="s">
        <v>77</v>
      </c>
      <c r="F74" s="40">
        <f t="shared" si="0"/>
        <v>3.8603499999999999</v>
      </c>
      <c r="G74" s="45"/>
      <c r="H74" s="58"/>
      <c r="I74" s="125" t="s">
        <v>77</v>
      </c>
      <c r="J74" s="101">
        <f>2.1232</f>
        <v>2.1232000000000002</v>
      </c>
      <c r="K74" s="101">
        <v>1.73715</v>
      </c>
    </row>
    <row r="75" spans="1:11" ht="15.75" customHeight="1" x14ac:dyDescent="0.25">
      <c r="A75" s="267"/>
      <c r="B75" s="55"/>
      <c r="C75" s="45"/>
      <c r="D75" s="103">
        <f>0.2048</f>
        <v>0.20480000000000001</v>
      </c>
      <c r="E75" s="55" t="s">
        <v>78</v>
      </c>
      <c r="F75" s="40">
        <f t="shared" si="0"/>
        <v>0.20480000000000001</v>
      </c>
      <c r="G75" s="45"/>
      <c r="H75" s="58"/>
      <c r="I75" s="125" t="s">
        <v>78</v>
      </c>
      <c r="J75" s="103">
        <f>0.2048</f>
        <v>0.20480000000000001</v>
      </c>
      <c r="K75" s="101">
        <v>0</v>
      </c>
    </row>
    <row r="76" spans="1:11" ht="13.5" customHeight="1" x14ac:dyDescent="0.25">
      <c r="A76" s="267"/>
      <c r="B76" s="55"/>
      <c r="C76" s="45"/>
      <c r="D76" s="103">
        <f>0.4806</f>
        <v>0.48060000000000003</v>
      </c>
      <c r="E76" s="55" t="s">
        <v>79</v>
      </c>
      <c r="F76" s="40">
        <f t="shared" si="0"/>
        <v>0.48060000000000003</v>
      </c>
      <c r="G76" s="45"/>
      <c r="H76" s="58"/>
      <c r="I76" s="125" t="s">
        <v>79</v>
      </c>
      <c r="J76" s="103">
        <f>0.4806</f>
        <v>0.48060000000000003</v>
      </c>
      <c r="K76" s="101">
        <v>0</v>
      </c>
    </row>
    <row r="77" spans="1:11" ht="17.25" customHeight="1" x14ac:dyDescent="0.25">
      <c r="A77" s="267"/>
      <c r="B77" s="55"/>
      <c r="C77" s="45"/>
      <c r="D77" s="103">
        <f>0.19456</f>
        <v>0.19456000000000001</v>
      </c>
      <c r="E77" s="55" t="s">
        <v>121</v>
      </c>
      <c r="F77" s="40">
        <f t="shared" si="0"/>
        <v>0.19456000000000001</v>
      </c>
      <c r="G77" s="45"/>
      <c r="H77" s="58"/>
      <c r="I77" s="125" t="s">
        <v>121</v>
      </c>
      <c r="J77" s="101">
        <f>0.14268</f>
        <v>0.14268</v>
      </c>
      <c r="K77" s="101">
        <v>5.1880000000000003E-2</v>
      </c>
    </row>
    <row r="78" spans="1:11" ht="16.5" customHeight="1" x14ac:dyDescent="0.25">
      <c r="A78" s="267"/>
      <c r="B78" s="55"/>
      <c r="C78" s="45"/>
      <c r="D78" s="103">
        <f>0.2722</f>
        <v>0.2722</v>
      </c>
      <c r="E78" s="55" t="s">
        <v>80</v>
      </c>
      <c r="F78" s="40">
        <f t="shared" ref="F78:F113" si="1">D78</f>
        <v>0.2722</v>
      </c>
      <c r="G78" s="45"/>
      <c r="H78" s="58"/>
      <c r="I78" s="125" t="s">
        <v>80</v>
      </c>
      <c r="J78" s="101">
        <v>0</v>
      </c>
      <c r="K78" s="103">
        <f>0.2722</f>
        <v>0.2722</v>
      </c>
    </row>
    <row r="79" spans="1:11" ht="12.75" customHeight="1" x14ac:dyDescent="0.25">
      <c r="A79" s="267"/>
      <c r="B79" s="55"/>
      <c r="C79" s="45"/>
      <c r="D79" s="103">
        <f>0.33545+0.10563</f>
        <v>0.44108000000000003</v>
      </c>
      <c r="E79" s="55" t="s">
        <v>81</v>
      </c>
      <c r="F79" s="40">
        <f t="shared" si="1"/>
        <v>0.44108000000000003</v>
      </c>
      <c r="G79" s="45"/>
      <c r="H79" s="58"/>
      <c r="I79" s="125" t="s">
        <v>81</v>
      </c>
      <c r="J79" s="101">
        <v>9.2480000000000007E-2</v>
      </c>
      <c r="K79" s="101">
        <v>0.34860000000000002</v>
      </c>
    </row>
    <row r="80" spans="1:11" ht="14.25" customHeight="1" x14ac:dyDescent="0.25">
      <c r="A80" s="267"/>
      <c r="B80" s="55"/>
      <c r="C80" s="45"/>
      <c r="D80" s="103">
        <f>0.1548+0.6776</f>
        <v>0.83240000000000003</v>
      </c>
      <c r="E80" s="55" t="s">
        <v>82</v>
      </c>
      <c r="F80" s="40">
        <f t="shared" si="1"/>
        <v>0.83240000000000003</v>
      </c>
      <c r="G80" s="45"/>
      <c r="H80" s="58"/>
      <c r="I80" s="125" t="s">
        <v>82</v>
      </c>
      <c r="J80" s="101">
        <f>0.1694</f>
        <v>0.1694</v>
      </c>
      <c r="K80" s="101">
        <f>0.663</f>
        <v>0.66300000000000003</v>
      </c>
    </row>
    <row r="81" spans="1:11" ht="14.25" customHeight="1" x14ac:dyDescent="0.25">
      <c r="A81" s="267"/>
      <c r="B81" s="55"/>
      <c r="C81" s="45"/>
      <c r="D81" s="103">
        <v>2.2499999999999999E-2</v>
      </c>
      <c r="E81" s="55" t="s">
        <v>83</v>
      </c>
      <c r="F81" s="40">
        <f t="shared" si="1"/>
        <v>2.2499999999999999E-2</v>
      </c>
      <c r="G81" s="45"/>
      <c r="H81" s="58"/>
      <c r="I81" s="125" t="s">
        <v>83</v>
      </c>
      <c r="J81" s="101">
        <v>0</v>
      </c>
      <c r="K81" s="103">
        <v>2.2499999999999999E-2</v>
      </c>
    </row>
    <row r="82" spans="1:11" ht="12.75" customHeight="1" x14ac:dyDescent="0.25">
      <c r="A82" s="267"/>
      <c r="B82" s="55"/>
      <c r="C82" s="45"/>
      <c r="D82" s="103">
        <v>2.2499999999999999E-2</v>
      </c>
      <c r="E82" s="55" t="s">
        <v>84</v>
      </c>
      <c r="F82" s="40">
        <f t="shared" si="1"/>
        <v>2.2499999999999999E-2</v>
      </c>
      <c r="G82" s="45"/>
      <c r="H82" s="58"/>
      <c r="I82" s="125" t="s">
        <v>84</v>
      </c>
      <c r="J82" s="101">
        <v>1.125E-2</v>
      </c>
      <c r="K82" s="101">
        <v>1.125E-2</v>
      </c>
    </row>
    <row r="83" spans="1:11" ht="12.75" customHeight="1" x14ac:dyDescent="0.25">
      <c r="A83" s="267"/>
      <c r="B83" s="55"/>
      <c r="C83" s="45"/>
      <c r="D83" s="101">
        <f>0.0225</f>
        <v>2.2499999999999999E-2</v>
      </c>
      <c r="E83" s="55" t="s">
        <v>85</v>
      </c>
      <c r="F83" s="40">
        <f t="shared" si="1"/>
        <v>2.2499999999999999E-2</v>
      </c>
      <c r="G83" s="45"/>
      <c r="H83" s="58"/>
      <c r="I83" s="125" t="s">
        <v>85</v>
      </c>
      <c r="J83" s="101">
        <v>0</v>
      </c>
      <c r="K83" s="101">
        <f>0.0225</f>
        <v>2.2499999999999999E-2</v>
      </c>
    </row>
    <row r="84" spans="1:11" ht="27" customHeight="1" x14ac:dyDescent="0.25">
      <c r="A84" s="267"/>
      <c r="B84" s="55"/>
      <c r="C84" s="45"/>
      <c r="D84" s="103">
        <f>0.6915</f>
        <v>0.6915</v>
      </c>
      <c r="E84" s="55" t="s">
        <v>122</v>
      </c>
      <c r="F84" s="40">
        <f t="shared" si="1"/>
        <v>0.6915</v>
      </c>
      <c r="G84" s="45"/>
      <c r="H84" s="58"/>
      <c r="I84" s="125" t="s">
        <v>86</v>
      </c>
      <c r="J84" s="101">
        <v>0</v>
      </c>
      <c r="K84" s="103">
        <f>0.6915</f>
        <v>0.6915</v>
      </c>
    </row>
    <row r="85" spans="1:11" ht="16.5" customHeight="1" x14ac:dyDescent="0.25">
      <c r="A85" s="267"/>
      <c r="B85" s="55"/>
      <c r="C85" s="45"/>
      <c r="D85" s="103">
        <f>5.44095+2.81538+7.37979</f>
        <v>15.63612</v>
      </c>
      <c r="E85" s="55" t="s">
        <v>87</v>
      </c>
      <c r="F85" s="40">
        <f t="shared" si="1"/>
        <v>15.63612</v>
      </c>
      <c r="G85" s="45"/>
      <c r="H85" s="58"/>
      <c r="I85" s="125" t="s">
        <v>87</v>
      </c>
      <c r="J85" s="101">
        <v>11.829700000000001</v>
      </c>
      <c r="K85" s="101">
        <f>3.80642</f>
        <v>3.8064200000000001</v>
      </c>
    </row>
    <row r="86" spans="1:11" ht="29.25" customHeight="1" x14ac:dyDescent="0.25">
      <c r="A86" s="267"/>
      <c r="B86" s="55"/>
      <c r="C86" s="45"/>
      <c r="D86" s="103">
        <v>0.11871</v>
      </c>
      <c r="E86" s="55" t="s">
        <v>88</v>
      </c>
      <c r="F86" s="40">
        <f t="shared" si="1"/>
        <v>0.11871</v>
      </c>
      <c r="G86" s="45"/>
      <c r="H86" s="58"/>
      <c r="I86" s="125" t="s">
        <v>88</v>
      </c>
      <c r="J86" s="101">
        <v>0</v>
      </c>
      <c r="K86" s="103">
        <v>0.11871</v>
      </c>
    </row>
    <row r="87" spans="1:11" ht="13.5" customHeight="1" x14ac:dyDescent="0.25">
      <c r="A87" s="267"/>
      <c r="B87" s="55"/>
      <c r="C87" s="45"/>
      <c r="D87" s="103">
        <v>3.8841000000000001</v>
      </c>
      <c r="E87" s="55" t="s">
        <v>89</v>
      </c>
      <c r="F87" s="40">
        <f t="shared" si="1"/>
        <v>3.8841000000000001</v>
      </c>
      <c r="G87" s="45"/>
      <c r="H87" s="58"/>
      <c r="I87" s="125" t="s">
        <v>89</v>
      </c>
      <c r="J87" s="101">
        <f>3.48275</f>
        <v>3.4827499999999998</v>
      </c>
      <c r="K87" s="101">
        <f>0.40135</f>
        <v>0.40134999999999998</v>
      </c>
    </row>
    <row r="88" spans="1:11" ht="18" customHeight="1" x14ac:dyDescent="0.25">
      <c r="A88" s="267"/>
      <c r="B88" s="55"/>
      <c r="C88" s="45"/>
      <c r="D88" s="103">
        <v>4.298</v>
      </c>
      <c r="E88" s="55" t="s">
        <v>123</v>
      </c>
      <c r="F88" s="40">
        <f t="shared" si="1"/>
        <v>4.298</v>
      </c>
      <c r="G88" s="45"/>
      <c r="H88" s="58"/>
      <c r="I88" s="125" t="s">
        <v>123</v>
      </c>
      <c r="J88" s="101">
        <v>1.5349999999999999</v>
      </c>
      <c r="K88" s="101">
        <v>2.7629999999999999</v>
      </c>
    </row>
    <row r="89" spans="1:11" ht="15.75" customHeight="1" x14ac:dyDescent="0.25">
      <c r="A89" s="267"/>
      <c r="B89" s="55"/>
      <c r="C89" s="45"/>
      <c r="D89" s="103">
        <f>3.377</f>
        <v>3.3769999999999998</v>
      </c>
      <c r="E89" s="55" t="s">
        <v>124</v>
      </c>
      <c r="F89" s="40">
        <f t="shared" si="1"/>
        <v>3.3769999999999998</v>
      </c>
      <c r="G89" s="45"/>
      <c r="H89" s="58"/>
      <c r="I89" s="125" t="s">
        <v>124</v>
      </c>
      <c r="J89" s="101">
        <v>1.5964</v>
      </c>
      <c r="K89" s="101">
        <v>1.7806</v>
      </c>
    </row>
    <row r="90" spans="1:11" ht="15" customHeight="1" x14ac:dyDescent="0.25">
      <c r="A90" s="267"/>
      <c r="B90" s="55"/>
      <c r="C90" s="45"/>
      <c r="D90" s="103">
        <v>2.7629999999999999</v>
      </c>
      <c r="E90" s="55" t="s">
        <v>125</v>
      </c>
      <c r="F90" s="40">
        <f t="shared" si="1"/>
        <v>2.7629999999999999</v>
      </c>
      <c r="G90" s="45"/>
      <c r="H90" s="58"/>
      <c r="I90" s="125" t="s">
        <v>125</v>
      </c>
      <c r="J90" s="101">
        <v>2.149</v>
      </c>
      <c r="K90" s="101">
        <f>0.614</f>
        <v>0.61399999999999999</v>
      </c>
    </row>
    <row r="91" spans="1:11" ht="17.25" customHeight="1" x14ac:dyDescent="0.25">
      <c r="A91" s="267"/>
      <c r="B91" s="55"/>
      <c r="C91" s="45"/>
      <c r="D91" s="103">
        <v>1.228</v>
      </c>
      <c r="E91" s="55" t="s">
        <v>126</v>
      </c>
      <c r="F91" s="40">
        <f t="shared" si="1"/>
        <v>1.228</v>
      </c>
      <c r="G91" s="45"/>
      <c r="H91" s="58"/>
      <c r="I91" s="125" t="s">
        <v>126</v>
      </c>
      <c r="J91" s="103">
        <v>1.228</v>
      </c>
      <c r="K91" s="101">
        <v>0</v>
      </c>
    </row>
    <row r="92" spans="1:11" ht="28.5" customHeight="1" x14ac:dyDescent="0.25">
      <c r="A92" s="267"/>
      <c r="B92" s="55"/>
      <c r="C92" s="45"/>
      <c r="D92" s="103">
        <f>0.921</f>
        <v>0.92100000000000004</v>
      </c>
      <c r="E92" s="55" t="s">
        <v>127</v>
      </c>
      <c r="F92" s="40">
        <f t="shared" si="1"/>
        <v>0.92100000000000004</v>
      </c>
      <c r="G92" s="45"/>
      <c r="H92" s="58"/>
      <c r="I92" s="125" t="s">
        <v>127</v>
      </c>
      <c r="J92" s="103">
        <f>0.921</f>
        <v>0.92100000000000004</v>
      </c>
      <c r="K92" s="101">
        <v>0</v>
      </c>
    </row>
    <row r="93" spans="1:11" ht="15.75" customHeight="1" x14ac:dyDescent="0.25">
      <c r="A93" s="267"/>
      <c r="B93" s="55"/>
      <c r="C93" s="45"/>
      <c r="D93" s="103">
        <v>1.7751300000000001</v>
      </c>
      <c r="E93" s="55" t="s">
        <v>112</v>
      </c>
      <c r="F93" s="40">
        <f t="shared" si="1"/>
        <v>1.7751300000000001</v>
      </c>
      <c r="G93" s="45"/>
      <c r="H93" s="58"/>
      <c r="I93" s="125" t="s">
        <v>112</v>
      </c>
      <c r="J93" s="103">
        <v>1.7751300000000001</v>
      </c>
      <c r="K93" s="101">
        <v>0</v>
      </c>
    </row>
    <row r="94" spans="1:11" ht="30" x14ac:dyDescent="0.25">
      <c r="A94" s="267"/>
      <c r="B94" s="55"/>
      <c r="C94" s="45"/>
      <c r="D94" s="103">
        <f>2.763</f>
        <v>2.7629999999999999</v>
      </c>
      <c r="E94" s="55" t="s">
        <v>128</v>
      </c>
      <c r="F94" s="40">
        <f t="shared" si="1"/>
        <v>2.7629999999999999</v>
      </c>
      <c r="G94" s="45"/>
      <c r="H94" s="58"/>
      <c r="I94" s="125" t="s">
        <v>128</v>
      </c>
      <c r="J94" s="101">
        <f>2.456</f>
        <v>2.456</v>
      </c>
      <c r="K94" s="101">
        <v>0.307</v>
      </c>
    </row>
    <row r="95" spans="1:11" ht="13.5" customHeight="1" x14ac:dyDescent="0.25">
      <c r="A95" s="267"/>
      <c r="B95" s="55"/>
      <c r="C95" s="45"/>
      <c r="D95" s="103">
        <v>1.7751300000000001</v>
      </c>
      <c r="E95" s="55" t="s">
        <v>111</v>
      </c>
      <c r="F95" s="40">
        <f t="shared" si="1"/>
        <v>1.7751300000000001</v>
      </c>
      <c r="G95" s="45"/>
      <c r="H95" s="58"/>
      <c r="I95" s="125" t="s">
        <v>111</v>
      </c>
      <c r="J95" s="103">
        <v>1.7751300000000001</v>
      </c>
      <c r="K95" s="101">
        <v>0</v>
      </c>
    </row>
    <row r="96" spans="1:11" ht="15.75" customHeight="1" x14ac:dyDescent="0.25">
      <c r="A96" s="267"/>
      <c r="B96" s="55"/>
      <c r="C96" s="45"/>
      <c r="D96" s="103">
        <v>2.9788800000000002</v>
      </c>
      <c r="E96" s="55" t="s">
        <v>90</v>
      </c>
      <c r="F96" s="40">
        <f t="shared" si="1"/>
        <v>2.9788800000000002</v>
      </c>
      <c r="G96" s="45"/>
      <c r="H96" s="58"/>
      <c r="I96" s="125" t="s">
        <v>90</v>
      </c>
      <c r="J96" s="101">
        <f>2.0544</f>
        <v>2.0543999999999998</v>
      </c>
      <c r="K96" s="101">
        <v>0.92447999999999997</v>
      </c>
    </row>
    <row r="97" spans="1:11" ht="15" customHeight="1" x14ac:dyDescent="0.25">
      <c r="A97" s="267"/>
      <c r="B97" s="55"/>
      <c r="C97" s="45"/>
      <c r="D97" s="103">
        <f>2.98123+1.39614</f>
        <v>4.37737</v>
      </c>
      <c r="E97" s="55" t="s">
        <v>91</v>
      </c>
      <c r="F97" s="40">
        <f t="shared" si="1"/>
        <v>4.37737</v>
      </c>
      <c r="G97" s="45"/>
      <c r="H97" s="58"/>
      <c r="I97" s="125" t="s">
        <v>91</v>
      </c>
      <c r="J97" s="101">
        <f>1.9378</f>
        <v>1.9378</v>
      </c>
      <c r="K97" s="101">
        <f>2.43957</f>
        <v>2.4395699999999998</v>
      </c>
    </row>
    <row r="98" spans="1:11" ht="13.5" customHeight="1" x14ac:dyDescent="0.25">
      <c r="A98" s="267"/>
      <c r="B98" s="55"/>
      <c r="C98" s="45"/>
      <c r="D98" s="103">
        <v>0.58884000000000003</v>
      </c>
      <c r="E98" s="55" t="s">
        <v>92</v>
      </c>
      <c r="F98" s="40">
        <f t="shared" si="1"/>
        <v>0.58884000000000003</v>
      </c>
      <c r="G98" s="45"/>
      <c r="H98" s="58"/>
      <c r="I98" s="125" t="s">
        <v>92</v>
      </c>
      <c r="J98" s="103">
        <v>0</v>
      </c>
      <c r="K98" s="103">
        <v>0.58884000000000003</v>
      </c>
    </row>
    <row r="99" spans="1:11" ht="13.5" customHeight="1" x14ac:dyDescent="0.25">
      <c r="A99" s="267"/>
      <c r="B99" s="55"/>
      <c r="C99" s="45"/>
      <c r="D99" s="103">
        <v>2.6329999999999999E-2</v>
      </c>
      <c r="E99" s="55" t="s">
        <v>93</v>
      </c>
      <c r="F99" s="40">
        <f t="shared" si="1"/>
        <v>2.6329999999999999E-2</v>
      </c>
      <c r="G99" s="45"/>
      <c r="H99" s="58"/>
      <c r="I99" s="125" t="s">
        <v>93</v>
      </c>
      <c r="J99" s="103">
        <v>2.6329999999999999E-2</v>
      </c>
      <c r="K99" s="101">
        <v>0</v>
      </c>
    </row>
    <row r="100" spans="1:11" ht="13.5" customHeight="1" x14ac:dyDescent="0.25">
      <c r="A100" s="267"/>
      <c r="B100" s="55"/>
      <c r="C100" s="45"/>
      <c r="D100" s="103">
        <f>1.9231</f>
        <v>1.9231</v>
      </c>
      <c r="E100" s="55" t="s">
        <v>94</v>
      </c>
      <c r="F100" s="40">
        <f t="shared" si="1"/>
        <v>1.9231</v>
      </c>
      <c r="G100" s="45"/>
      <c r="H100" s="58"/>
      <c r="I100" s="125" t="s">
        <v>94</v>
      </c>
      <c r="J100" s="101">
        <v>0.27472999999999997</v>
      </c>
      <c r="K100" s="101">
        <f>1.64837</f>
        <v>1.6483699999999999</v>
      </c>
    </row>
    <row r="101" spans="1:11" ht="15" customHeight="1" x14ac:dyDescent="0.25">
      <c r="A101" s="267"/>
      <c r="B101" s="55"/>
      <c r="C101" s="45"/>
      <c r="D101" s="103">
        <v>0.95101999999999998</v>
      </c>
      <c r="E101" s="55" t="s">
        <v>95</v>
      </c>
      <c r="F101" s="40">
        <f t="shared" si="1"/>
        <v>0.95101999999999998</v>
      </c>
      <c r="G101" s="45"/>
      <c r="H101" s="58"/>
      <c r="I101" s="125" t="s">
        <v>95</v>
      </c>
      <c r="J101" s="103">
        <v>0</v>
      </c>
      <c r="K101" s="103">
        <v>0.95101999999999998</v>
      </c>
    </row>
    <row r="102" spans="1:11" ht="15" customHeight="1" x14ac:dyDescent="0.25">
      <c r="A102" s="267"/>
      <c r="B102" s="55"/>
      <c r="C102" s="45"/>
      <c r="D102" s="103">
        <f>5.12487+8.05122</f>
        <v>13.17609</v>
      </c>
      <c r="E102" s="55" t="s">
        <v>96</v>
      </c>
      <c r="F102" s="40">
        <f t="shared" si="1"/>
        <v>13.17609</v>
      </c>
      <c r="G102" s="45"/>
      <c r="H102" s="58"/>
      <c r="I102" s="125" t="s">
        <v>96</v>
      </c>
      <c r="J102" s="101">
        <v>10.27764</v>
      </c>
      <c r="K102" s="101">
        <f>2.89845</f>
        <v>2.89845</v>
      </c>
    </row>
    <row r="103" spans="1:11" ht="15" customHeight="1" x14ac:dyDescent="0.25">
      <c r="A103" s="267"/>
      <c r="B103" s="55"/>
      <c r="C103" s="45"/>
      <c r="D103" s="103">
        <v>0.19153999999999999</v>
      </c>
      <c r="E103" s="55" t="s">
        <v>97</v>
      </c>
      <c r="F103" s="40">
        <f t="shared" si="1"/>
        <v>0.19153999999999999</v>
      </c>
      <c r="G103" s="45"/>
      <c r="H103" s="58"/>
      <c r="I103" s="125" t="s">
        <v>97</v>
      </c>
      <c r="J103" s="101">
        <f>0.07367</f>
        <v>7.3669999999999999E-2</v>
      </c>
      <c r="K103" s="101">
        <f>0.11787</f>
        <v>0.11787</v>
      </c>
    </row>
    <row r="104" spans="1:11" ht="14.25" customHeight="1" x14ac:dyDescent="0.25">
      <c r="A104" s="267"/>
      <c r="B104" s="55"/>
      <c r="C104" s="45"/>
      <c r="D104" s="103">
        <f>0.36504</f>
        <v>0.36503999999999998</v>
      </c>
      <c r="E104" s="55" t="s">
        <v>98</v>
      </c>
      <c r="F104" s="40">
        <f t="shared" si="1"/>
        <v>0.36503999999999998</v>
      </c>
      <c r="G104" s="45"/>
      <c r="H104" s="58"/>
      <c r="I104" s="125" t="s">
        <v>98</v>
      </c>
      <c r="J104" s="101">
        <f>0.21294</f>
        <v>0.21293999999999999</v>
      </c>
      <c r="K104" s="101">
        <f>0.1521</f>
        <v>0.15210000000000001</v>
      </c>
    </row>
    <row r="105" spans="1:11" ht="13.5" customHeight="1" x14ac:dyDescent="0.25">
      <c r="A105" s="267"/>
      <c r="B105" s="55"/>
      <c r="C105" s="45"/>
      <c r="D105" s="103">
        <v>0.63729000000000002</v>
      </c>
      <c r="E105" s="55" t="s">
        <v>99</v>
      </c>
      <c r="F105" s="40">
        <f t="shared" si="1"/>
        <v>0.63729000000000002</v>
      </c>
      <c r="G105" s="45"/>
      <c r="H105" s="58"/>
      <c r="I105" s="125" t="s">
        <v>99</v>
      </c>
      <c r="J105" s="103">
        <v>0.63729000000000002</v>
      </c>
      <c r="K105" s="101">
        <v>0</v>
      </c>
    </row>
    <row r="106" spans="1:11" ht="12.75" customHeight="1" x14ac:dyDescent="0.25">
      <c r="A106" s="267"/>
      <c r="B106" s="55"/>
      <c r="C106" s="45"/>
      <c r="D106" s="103">
        <f>0.95626</f>
        <v>0.95626</v>
      </c>
      <c r="E106" s="55" t="s">
        <v>100</v>
      </c>
      <c r="F106" s="40">
        <f t="shared" si="1"/>
        <v>0.95626</v>
      </c>
      <c r="G106" s="45"/>
      <c r="H106" s="58"/>
      <c r="I106" s="125" t="s">
        <v>100</v>
      </c>
      <c r="J106" s="101">
        <f>0.3825</f>
        <v>0.38250000000000001</v>
      </c>
      <c r="K106" s="101">
        <f>0.57376</f>
        <v>0.57376000000000005</v>
      </c>
    </row>
    <row r="107" spans="1:11" ht="15" customHeight="1" x14ac:dyDescent="0.25">
      <c r="A107" s="267"/>
      <c r="B107" s="55"/>
      <c r="C107" s="45"/>
      <c r="D107" s="103">
        <f>0.17345+0.276+0.08587-0.00006</f>
        <v>0.53526000000000007</v>
      </c>
      <c r="E107" s="56" t="s">
        <v>101</v>
      </c>
      <c r="F107" s="40">
        <f t="shared" si="1"/>
        <v>0.53526000000000007</v>
      </c>
      <c r="G107" s="45"/>
      <c r="H107" s="58"/>
      <c r="I107" s="125" t="s">
        <v>101</v>
      </c>
      <c r="J107" s="101">
        <f>0.3642</f>
        <v>0.36420000000000002</v>
      </c>
      <c r="K107" s="101">
        <f>0.17112</f>
        <v>0.17111999999999999</v>
      </c>
    </row>
    <row r="108" spans="1:11" ht="14.25" customHeight="1" x14ac:dyDescent="0.25">
      <c r="A108" s="267"/>
      <c r="B108" s="55"/>
      <c r="C108" s="45"/>
      <c r="D108" s="103">
        <f>0.49434+1.0431</f>
        <v>1.5374399999999999</v>
      </c>
      <c r="E108" s="55" t="s">
        <v>105</v>
      </c>
      <c r="F108" s="40">
        <f t="shared" si="1"/>
        <v>1.5374399999999999</v>
      </c>
      <c r="G108" s="45"/>
      <c r="H108" s="58"/>
      <c r="I108" s="125" t="s">
        <v>105</v>
      </c>
      <c r="J108" s="101">
        <v>0.55656000000000005</v>
      </c>
      <c r="K108" s="101">
        <v>0.98087999999999997</v>
      </c>
    </row>
    <row r="109" spans="1:11" ht="12.75" customHeight="1" x14ac:dyDescent="0.25">
      <c r="A109" s="267"/>
      <c r="B109" s="55"/>
      <c r="C109" s="45"/>
      <c r="D109" s="103">
        <v>0.67900000000000005</v>
      </c>
      <c r="E109" s="55" t="s">
        <v>104</v>
      </c>
      <c r="F109" s="40">
        <f t="shared" si="1"/>
        <v>0.67900000000000005</v>
      </c>
      <c r="G109" s="45"/>
      <c r="H109" s="58"/>
      <c r="I109" s="125" t="s">
        <v>104</v>
      </c>
      <c r="J109" s="101">
        <f>0.27645</f>
        <v>0.27644999999999997</v>
      </c>
      <c r="K109" s="101">
        <v>0.40255000000000002</v>
      </c>
    </row>
    <row r="110" spans="1:11" ht="14.25" customHeight="1" x14ac:dyDescent="0.25">
      <c r="A110" s="267"/>
      <c r="B110" s="55"/>
      <c r="C110" s="45"/>
      <c r="D110" s="103">
        <v>0.60192000000000001</v>
      </c>
      <c r="E110" s="55" t="s">
        <v>102</v>
      </c>
      <c r="F110" s="40">
        <f t="shared" si="1"/>
        <v>0.60192000000000001</v>
      </c>
      <c r="G110" s="45"/>
      <c r="H110" s="58"/>
      <c r="I110" s="125" t="s">
        <v>102</v>
      </c>
      <c r="J110" s="101">
        <f>0.49362</f>
        <v>0.49362</v>
      </c>
      <c r="K110" s="101">
        <f>0.1083</f>
        <v>0.10829999999999999</v>
      </c>
    </row>
    <row r="111" spans="1:11" ht="13.5" customHeight="1" x14ac:dyDescent="0.25">
      <c r="A111" s="267"/>
      <c r="B111" s="55"/>
      <c r="C111" s="45"/>
      <c r="D111" s="103">
        <f>1.14+0.2048</f>
        <v>1.3448</v>
      </c>
      <c r="E111" s="55" t="s">
        <v>103</v>
      </c>
      <c r="F111" s="40">
        <f t="shared" si="1"/>
        <v>1.3448</v>
      </c>
      <c r="G111" s="45"/>
      <c r="H111" s="58"/>
      <c r="I111" s="125" t="s">
        <v>103</v>
      </c>
      <c r="J111" s="101">
        <f>0.70412</f>
        <v>0.70411999999999997</v>
      </c>
      <c r="K111" s="101">
        <f>0.64068</f>
        <v>0.64068000000000003</v>
      </c>
    </row>
    <row r="112" spans="1:11" ht="15.75" x14ac:dyDescent="0.25">
      <c r="A112" s="267"/>
      <c r="B112" s="55"/>
      <c r="C112" s="45"/>
      <c r="D112" s="103">
        <v>0.46200000000000002</v>
      </c>
      <c r="E112" s="55" t="s">
        <v>106</v>
      </c>
      <c r="F112" s="40">
        <f t="shared" si="1"/>
        <v>0.46200000000000002</v>
      </c>
      <c r="G112" s="45"/>
      <c r="H112" s="58"/>
      <c r="I112" s="125" t="s">
        <v>106</v>
      </c>
      <c r="J112" s="101">
        <f>0.0462</f>
        <v>4.6199999999999998E-2</v>
      </c>
      <c r="K112" s="101">
        <f>0.4158</f>
        <v>0.4158</v>
      </c>
    </row>
    <row r="113" spans="1:11" ht="45" x14ac:dyDescent="0.25">
      <c r="A113" s="267"/>
      <c r="B113" s="60" t="s">
        <v>110</v>
      </c>
      <c r="C113" s="45"/>
      <c r="D113" s="104">
        <v>1.7</v>
      </c>
      <c r="E113" s="55" t="s">
        <v>114</v>
      </c>
      <c r="F113" s="40">
        <f t="shared" si="1"/>
        <v>1.7</v>
      </c>
      <c r="G113" s="45"/>
      <c r="H113" s="45"/>
      <c r="I113" s="125" t="s">
        <v>136</v>
      </c>
      <c r="J113" s="101">
        <v>0</v>
      </c>
      <c r="K113" s="104">
        <v>1.7</v>
      </c>
    </row>
    <row r="114" spans="1:11" ht="15.75" x14ac:dyDescent="0.25">
      <c r="A114" s="268"/>
      <c r="B114" s="60" t="s">
        <v>129</v>
      </c>
      <c r="C114" s="62">
        <v>14.691000000000001</v>
      </c>
      <c r="D114" s="104"/>
      <c r="E114" s="55"/>
      <c r="F114" s="40">
        <v>14.691000000000001</v>
      </c>
      <c r="G114" s="45"/>
      <c r="H114" s="45"/>
      <c r="I114" s="125"/>
      <c r="J114" s="101"/>
      <c r="K114" s="146">
        <v>14.691000000000001</v>
      </c>
    </row>
    <row r="115" spans="1:11" ht="120" x14ac:dyDescent="0.25">
      <c r="A115" s="271" t="s">
        <v>12</v>
      </c>
      <c r="B115" s="135" t="s">
        <v>129</v>
      </c>
      <c r="C115" s="42">
        <v>18.664999999999999</v>
      </c>
      <c r="D115" s="50"/>
      <c r="E115" s="136"/>
      <c r="F115" s="42">
        <f>C115</f>
        <v>18.664999999999999</v>
      </c>
      <c r="G115" s="144" t="s">
        <v>297</v>
      </c>
      <c r="H115" s="145"/>
      <c r="I115" s="145"/>
      <c r="J115" s="46"/>
      <c r="K115" s="135"/>
    </row>
    <row r="116" spans="1:11" ht="58.5" customHeight="1" x14ac:dyDescent="0.25">
      <c r="A116" s="272"/>
      <c r="B116" s="135"/>
      <c r="C116" s="135"/>
      <c r="D116" s="50"/>
      <c r="E116" s="136"/>
      <c r="F116" s="42"/>
      <c r="G116" s="136" t="s">
        <v>260</v>
      </c>
      <c r="H116" s="135">
        <v>17.73</v>
      </c>
      <c r="I116" s="145"/>
      <c r="J116" s="46"/>
      <c r="K116" s="135"/>
    </row>
    <row r="117" spans="1:11" ht="30" x14ac:dyDescent="0.25">
      <c r="A117" s="272"/>
      <c r="B117" s="135"/>
      <c r="C117" s="135"/>
      <c r="D117" s="50"/>
      <c r="E117" s="136"/>
      <c r="F117" s="42"/>
      <c r="G117" s="136" t="s">
        <v>261</v>
      </c>
      <c r="H117" s="135">
        <v>11.9</v>
      </c>
      <c r="I117" s="145"/>
      <c r="J117" s="46"/>
      <c r="K117" s="135"/>
    </row>
    <row r="118" spans="1:11" ht="30" x14ac:dyDescent="0.25">
      <c r="A118" s="272"/>
      <c r="B118" s="135"/>
      <c r="C118" s="135"/>
      <c r="D118" s="50"/>
      <c r="E118" s="136"/>
      <c r="F118" s="42"/>
      <c r="G118" s="136" t="s">
        <v>262</v>
      </c>
      <c r="H118" s="135">
        <f>4.5-0.774</f>
        <v>3.726</v>
      </c>
      <c r="I118" s="145"/>
      <c r="J118" s="46"/>
      <c r="K118" s="135"/>
    </row>
    <row r="119" spans="1:11" ht="57.75" x14ac:dyDescent="0.25">
      <c r="A119" s="272"/>
      <c r="B119" s="90" t="s">
        <v>138</v>
      </c>
      <c r="C119" s="1"/>
      <c r="D119" s="92">
        <v>13.105</v>
      </c>
      <c r="E119" s="13" t="s">
        <v>139</v>
      </c>
      <c r="F119" s="42">
        <f t="shared" ref="F119:F128" si="2">D119</f>
        <v>13.105</v>
      </c>
      <c r="G119" s="1"/>
      <c r="H119" s="1"/>
      <c r="I119" s="119" t="s">
        <v>139</v>
      </c>
      <c r="J119" s="101">
        <v>13.105</v>
      </c>
      <c r="K119" s="101">
        <v>0</v>
      </c>
    </row>
    <row r="120" spans="1:11" ht="30" x14ac:dyDescent="0.25">
      <c r="A120" s="272"/>
      <c r="B120" s="1"/>
      <c r="C120" s="1"/>
      <c r="D120" s="92">
        <v>1.5</v>
      </c>
      <c r="E120" s="15" t="s">
        <v>115</v>
      </c>
      <c r="F120" s="42">
        <f t="shared" si="2"/>
        <v>1.5</v>
      </c>
      <c r="G120" s="1"/>
      <c r="H120" s="1"/>
      <c r="I120" s="127" t="s">
        <v>115</v>
      </c>
      <c r="J120" s="92">
        <v>1.5</v>
      </c>
      <c r="K120" s="101">
        <v>0</v>
      </c>
    </row>
    <row r="121" spans="1:11" x14ac:dyDescent="0.25">
      <c r="A121" s="272"/>
      <c r="B121" s="1"/>
      <c r="C121" s="1"/>
      <c r="D121" s="92">
        <v>0.01</v>
      </c>
      <c r="E121" s="15" t="s">
        <v>140</v>
      </c>
      <c r="F121" s="86">
        <f t="shared" si="2"/>
        <v>0.01</v>
      </c>
      <c r="G121" s="1"/>
      <c r="H121" s="1"/>
      <c r="I121" s="127" t="s">
        <v>140</v>
      </c>
      <c r="J121" s="92">
        <v>0.01</v>
      </c>
      <c r="K121" s="101">
        <v>0</v>
      </c>
    </row>
    <row r="122" spans="1:11" ht="30" x14ac:dyDescent="0.25">
      <c r="A122" s="272"/>
      <c r="B122" s="1"/>
      <c r="C122" s="1"/>
      <c r="D122" s="92">
        <v>5.5E-2</v>
      </c>
      <c r="E122" s="15" t="s">
        <v>141</v>
      </c>
      <c r="F122" s="42">
        <f t="shared" si="2"/>
        <v>5.5E-2</v>
      </c>
      <c r="G122" s="1"/>
      <c r="H122" s="1"/>
      <c r="I122" s="127" t="s">
        <v>141</v>
      </c>
      <c r="J122" s="92">
        <v>5.5E-2</v>
      </c>
      <c r="K122" s="101">
        <v>0</v>
      </c>
    </row>
    <row r="123" spans="1:11" x14ac:dyDescent="0.25">
      <c r="A123" s="272"/>
      <c r="B123" s="1"/>
      <c r="C123" s="1"/>
      <c r="D123" s="92">
        <v>0.96</v>
      </c>
      <c r="E123" s="15" t="s">
        <v>41</v>
      </c>
      <c r="F123" s="42">
        <f t="shared" si="2"/>
        <v>0.96</v>
      </c>
      <c r="G123" s="1"/>
      <c r="H123" s="1"/>
      <c r="I123" s="127" t="s">
        <v>41</v>
      </c>
      <c r="J123" s="92">
        <v>0.96</v>
      </c>
      <c r="K123" s="101">
        <v>0</v>
      </c>
    </row>
    <row r="124" spans="1:11" x14ac:dyDescent="0.25">
      <c r="A124" s="272"/>
      <c r="B124" s="1"/>
      <c r="C124" s="1"/>
      <c r="D124" s="92">
        <v>0.96</v>
      </c>
      <c r="E124" s="15" t="s">
        <v>142</v>
      </c>
      <c r="F124" s="42">
        <f t="shared" si="2"/>
        <v>0.96</v>
      </c>
      <c r="G124" s="1"/>
      <c r="H124" s="1"/>
      <c r="I124" s="127" t="s">
        <v>142</v>
      </c>
      <c r="J124" s="92">
        <v>0.96</v>
      </c>
      <c r="K124" s="101">
        <v>0</v>
      </c>
    </row>
    <row r="125" spans="1:11" ht="30" x14ac:dyDescent="0.25">
      <c r="A125" s="272"/>
      <c r="B125" s="1"/>
      <c r="C125" s="1"/>
      <c r="D125" s="92">
        <v>1.75</v>
      </c>
      <c r="E125" s="15" t="s">
        <v>44</v>
      </c>
      <c r="F125" s="42">
        <f t="shared" si="2"/>
        <v>1.75</v>
      </c>
      <c r="G125" s="1"/>
      <c r="H125" s="1"/>
      <c r="I125" s="127" t="s">
        <v>44</v>
      </c>
      <c r="J125" s="92">
        <v>1.75</v>
      </c>
      <c r="K125" s="101">
        <v>0</v>
      </c>
    </row>
    <row r="126" spans="1:11" ht="56.25" x14ac:dyDescent="0.3">
      <c r="A126" s="272"/>
      <c r="B126" s="52" t="s">
        <v>45</v>
      </c>
      <c r="C126" s="1"/>
      <c r="D126" s="92">
        <v>26.299499999999998</v>
      </c>
      <c r="E126" s="55" t="s">
        <v>143</v>
      </c>
      <c r="F126" s="42">
        <f t="shared" si="2"/>
        <v>26.299499999999998</v>
      </c>
      <c r="G126" s="1"/>
      <c r="H126" s="1"/>
      <c r="I126" s="125" t="s">
        <v>143</v>
      </c>
      <c r="J126" s="92">
        <v>26.299499999999998</v>
      </c>
      <c r="K126" s="101">
        <v>0</v>
      </c>
    </row>
    <row r="127" spans="1:11" ht="30" x14ac:dyDescent="0.25">
      <c r="A127" s="272"/>
      <c r="B127" s="91" t="s">
        <v>22</v>
      </c>
      <c r="C127" s="1"/>
      <c r="D127" s="92">
        <v>21.8</v>
      </c>
      <c r="E127" s="13" t="s">
        <v>139</v>
      </c>
      <c r="F127" s="42">
        <f t="shared" si="2"/>
        <v>21.8</v>
      </c>
      <c r="G127" s="1"/>
      <c r="H127" s="1"/>
      <c r="I127" s="119" t="s">
        <v>139</v>
      </c>
      <c r="J127" s="92">
        <v>21.8</v>
      </c>
      <c r="K127" s="101">
        <v>0</v>
      </c>
    </row>
    <row r="128" spans="1:11" x14ac:dyDescent="0.25">
      <c r="A128" s="272"/>
      <c r="B128" s="1"/>
      <c r="C128" s="1"/>
      <c r="D128" s="92">
        <f>0.28+0.14</f>
        <v>0.42000000000000004</v>
      </c>
      <c r="E128" s="15" t="s">
        <v>24</v>
      </c>
      <c r="F128" s="42">
        <f t="shared" si="2"/>
        <v>0.42000000000000004</v>
      </c>
      <c r="G128" s="1"/>
      <c r="H128" s="1"/>
      <c r="I128" s="127" t="s">
        <v>24</v>
      </c>
      <c r="J128" s="92">
        <f>0.28+0.14</f>
        <v>0.42000000000000004</v>
      </c>
      <c r="K128" s="101">
        <v>0</v>
      </c>
    </row>
    <row r="129" spans="1:11" ht="30" x14ac:dyDescent="0.25">
      <c r="A129" s="272"/>
      <c r="B129" s="1"/>
      <c r="C129" s="1"/>
      <c r="D129" s="92">
        <v>0.3</v>
      </c>
      <c r="E129" s="15" t="s">
        <v>144</v>
      </c>
      <c r="F129" s="42">
        <v>0.3</v>
      </c>
      <c r="G129" s="1"/>
      <c r="H129" s="1"/>
      <c r="I129" s="127" t="s">
        <v>144</v>
      </c>
      <c r="J129" s="92">
        <v>0.3</v>
      </c>
      <c r="K129" s="101">
        <v>0</v>
      </c>
    </row>
    <row r="130" spans="1:11" x14ac:dyDescent="0.25">
      <c r="A130" s="272"/>
      <c r="B130" s="1"/>
      <c r="C130" s="1"/>
      <c r="D130" s="92">
        <v>0.57999999999999996</v>
      </c>
      <c r="E130" s="15" t="s">
        <v>145</v>
      </c>
      <c r="F130" s="42">
        <f t="shared" ref="F130:F137" si="3">D130</f>
        <v>0.57999999999999996</v>
      </c>
      <c r="G130" s="1"/>
      <c r="H130" s="1"/>
      <c r="I130" s="127" t="s">
        <v>145</v>
      </c>
      <c r="J130" s="92">
        <v>0.57999999999999996</v>
      </c>
      <c r="K130" s="101">
        <v>0</v>
      </c>
    </row>
    <row r="131" spans="1:11" ht="30" x14ac:dyDescent="0.25">
      <c r="A131" s="272"/>
      <c r="B131" s="1"/>
      <c r="C131" s="1"/>
      <c r="D131" s="92">
        <v>0.28999999999999998</v>
      </c>
      <c r="E131" s="15" t="s">
        <v>147</v>
      </c>
      <c r="F131" s="42">
        <f t="shared" si="3"/>
        <v>0.28999999999999998</v>
      </c>
      <c r="G131" s="1"/>
      <c r="H131" s="1"/>
      <c r="I131" s="127" t="s">
        <v>147</v>
      </c>
      <c r="J131" s="92">
        <v>0.28999999999999998</v>
      </c>
      <c r="K131" s="101">
        <v>0</v>
      </c>
    </row>
    <row r="132" spans="1:11" x14ac:dyDescent="0.25">
      <c r="A132" s="272"/>
      <c r="B132" s="1"/>
      <c r="C132" s="1"/>
      <c r="D132" s="92">
        <v>0.56999999999999995</v>
      </c>
      <c r="E132" s="15" t="s">
        <v>146</v>
      </c>
      <c r="F132" s="42">
        <f t="shared" si="3"/>
        <v>0.56999999999999995</v>
      </c>
      <c r="G132" s="1"/>
      <c r="H132" s="1"/>
      <c r="I132" s="127" t="s">
        <v>146</v>
      </c>
      <c r="J132" s="92">
        <v>0.56999999999999995</v>
      </c>
      <c r="K132" s="101">
        <v>0</v>
      </c>
    </row>
    <row r="133" spans="1:11" ht="30" x14ac:dyDescent="0.25">
      <c r="A133" s="272"/>
      <c r="B133" s="1"/>
      <c r="C133" s="1"/>
      <c r="D133" s="92">
        <v>1.3</v>
      </c>
      <c r="E133" s="15" t="s">
        <v>42</v>
      </c>
      <c r="F133" s="42">
        <f t="shared" si="3"/>
        <v>1.3</v>
      </c>
      <c r="G133" s="1"/>
      <c r="H133" s="1"/>
      <c r="I133" s="127" t="s">
        <v>42</v>
      </c>
      <c r="J133" s="92">
        <v>1.3</v>
      </c>
      <c r="K133" s="101">
        <v>0</v>
      </c>
    </row>
    <row r="134" spans="1:11" x14ac:dyDescent="0.25">
      <c r="A134" s="272"/>
      <c r="B134" s="1"/>
      <c r="C134" s="1"/>
      <c r="D134" s="92">
        <v>0.50800000000000001</v>
      </c>
      <c r="E134" s="15" t="s">
        <v>142</v>
      </c>
      <c r="F134" s="42">
        <f t="shared" si="3"/>
        <v>0.50800000000000001</v>
      </c>
      <c r="G134" s="1"/>
      <c r="H134" s="1"/>
      <c r="I134" s="127" t="s">
        <v>142</v>
      </c>
      <c r="J134" s="92">
        <v>0.50800000000000001</v>
      </c>
      <c r="K134" s="101">
        <v>0</v>
      </c>
    </row>
    <row r="135" spans="1:11" x14ac:dyDescent="0.25">
      <c r="A135" s="272"/>
      <c r="B135" s="1"/>
      <c r="C135" s="1"/>
      <c r="D135" s="92">
        <v>0.56999999999999995</v>
      </c>
      <c r="E135" s="15" t="s">
        <v>142</v>
      </c>
      <c r="F135" s="42">
        <f t="shared" si="3"/>
        <v>0.56999999999999995</v>
      </c>
      <c r="G135" s="1"/>
      <c r="H135" s="1"/>
      <c r="I135" s="127" t="s">
        <v>142</v>
      </c>
      <c r="J135" s="92">
        <v>0.56999999999999995</v>
      </c>
      <c r="K135" s="101">
        <v>0</v>
      </c>
    </row>
    <row r="136" spans="1:11" ht="30" x14ac:dyDescent="0.25">
      <c r="A136" s="272"/>
      <c r="B136" s="1"/>
      <c r="C136" s="1"/>
      <c r="D136" s="92">
        <f>2.328</f>
        <v>2.3279999999999998</v>
      </c>
      <c r="E136" s="15" t="s">
        <v>44</v>
      </c>
      <c r="F136" s="42">
        <f t="shared" si="3"/>
        <v>2.3279999999999998</v>
      </c>
      <c r="G136" s="1"/>
      <c r="H136" s="1"/>
      <c r="I136" s="127" t="s">
        <v>44</v>
      </c>
      <c r="J136" s="92">
        <f>2.328</f>
        <v>2.3279999999999998</v>
      </c>
      <c r="K136" s="101">
        <v>0</v>
      </c>
    </row>
    <row r="137" spans="1:11" ht="75" x14ac:dyDescent="0.3">
      <c r="A137" s="272"/>
      <c r="B137" s="52" t="s">
        <v>47</v>
      </c>
      <c r="C137" s="1"/>
      <c r="D137" s="92">
        <f>4.23046+2.83935</f>
        <v>7.0698100000000004</v>
      </c>
      <c r="E137" s="15" t="s">
        <v>148</v>
      </c>
      <c r="F137" s="42">
        <f t="shared" si="3"/>
        <v>7.0698100000000004</v>
      </c>
      <c r="G137" s="1"/>
      <c r="H137" s="1"/>
      <c r="I137" s="127" t="s">
        <v>148</v>
      </c>
      <c r="J137" s="92">
        <f>2.83935+2.96132</f>
        <v>5.8006700000000002</v>
      </c>
      <c r="K137" s="92">
        <v>1.2691399999999999</v>
      </c>
    </row>
    <row r="138" spans="1:11" x14ac:dyDescent="0.25">
      <c r="A138" s="272"/>
      <c r="B138" s="1"/>
      <c r="C138" s="1"/>
      <c r="D138" s="101">
        <f>4.23624+5.65302</f>
        <v>9.8892600000000002</v>
      </c>
      <c r="E138" s="15" t="s">
        <v>51</v>
      </c>
      <c r="F138" s="42">
        <f>4.23624+5.65302</f>
        <v>9.8892600000000002</v>
      </c>
      <c r="G138" s="1"/>
      <c r="H138" s="1"/>
      <c r="I138" s="127" t="s">
        <v>51</v>
      </c>
      <c r="J138" s="92">
        <f>2.25933+4.23976</f>
        <v>6.4990900000000007</v>
      </c>
      <c r="K138" s="101">
        <f>1.97691+1.41326</f>
        <v>3.3901699999999999</v>
      </c>
    </row>
    <row r="139" spans="1:11" x14ac:dyDescent="0.25">
      <c r="A139" s="272"/>
      <c r="B139" s="1"/>
      <c r="C139" s="1"/>
      <c r="D139" s="92">
        <f>0.07477+0.06414</f>
        <v>0.13891000000000001</v>
      </c>
      <c r="E139" s="15" t="s">
        <v>149</v>
      </c>
      <c r="F139" s="42">
        <f t="shared" ref="F139:F159" si="4">D139</f>
        <v>0.13891000000000001</v>
      </c>
      <c r="G139" s="1"/>
      <c r="H139" s="1"/>
      <c r="I139" s="127" t="s">
        <v>149</v>
      </c>
      <c r="J139" s="92">
        <v>7.4770000000000003E-2</v>
      </c>
      <c r="K139" s="101">
        <f>0.064</f>
        <v>6.4000000000000001E-2</v>
      </c>
    </row>
    <row r="140" spans="1:11" x14ac:dyDescent="0.25">
      <c r="A140" s="272"/>
      <c r="B140" s="1"/>
      <c r="C140" s="1"/>
      <c r="D140" s="92">
        <v>1.917E-2</v>
      </c>
      <c r="E140" s="15" t="s">
        <v>150</v>
      </c>
      <c r="F140" s="42">
        <f t="shared" si="4"/>
        <v>1.917E-2</v>
      </c>
      <c r="G140" s="1"/>
      <c r="H140" s="1"/>
      <c r="I140" s="127" t="s">
        <v>150</v>
      </c>
      <c r="J140" s="92">
        <v>1.917E-2</v>
      </c>
      <c r="K140" s="101">
        <v>0</v>
      </c>
    </row>
    <row r="141" spans="1:11" x14ac:dyDescent="0.25">
      <c r="A141" s="272"/>
      <c r="B141" s="1"/>
      <c r="C141" s="1"/>
      <c r="D141" s="92">
        <v>0.1</v>
      </c>
      <c r="E141" s="15" t="s">
        <v>151</v>
      </c>
      <c r="F141" s="42">
        <f t="shared" si="4"/>
        <v>0.1</v>
      </c>
      <c r="G141" s="1"/>
      <c r="H141" s="1"/>
      <c r="I141" s="127" t="s">
        <v>151</v>
      </c>
      <c r="J141" s="92">
        <v>4.7E-2</v>
      </c>
      <c r="K141" s="101">
        <v>5.2999999999999999E-2</v>
      </c>
    </row>
    <row r="142" spans="1:11" x14ac:dyDescent="0.25">
      <c r="A142" s="272"/>
      <c r="B142" s="1"/>
      <c r="C142" s="1"/>
      <c r="D142" s="92">
        <v>0.11984</v>
      </c>
      <c r="E142" s="15" t="s">
        <v>152</v>
      </c>
      <c r="F142" s="42">
        <f t="shared" si="4"/>
        <v>0.11984</v>
      </c>
      <c r="G142" s="1"/>
      <c r="H142" s="1"/>
      <c r="I142" s="127" t="s">
        <v>152</v>
      </c>
      <c r="J142" s="92">
        <v>0.11984</v>
      </c>
      <c r="K142" s="101">
        <v>0</v>
      </c>
    </row>
    <row r="143" spans="1:11" x14ac:dyDescent="0.25">
      <c r="A143" s="272"/>
      <c r="B143" s="1"/>
      <c r="C143" s="1"/>
      <c r="D143" s="92">
        <v>2.5046599999999999</v>
      </c>
      <c r="E143" s="15" t="s">
        <v>153</v>
      </c>
      <c r="F143" s="42">
        <f t="shared" si="4"/>
        <v>2.5046599999999999</v>
      </c>
      <c r="G143" s="1"/>
      <c r="H143" s="1"/>
      <c r="I143" s="127" t="s">
        <v>153</v>
      </c>
      <c r="J143" s="92">
        <v>2.5046599999999999</v>
      </c>
      <c r="K143" s="101">
        <v>0</v>
      </c>
    </row>
    <row r="144" spans="1:11" x14ac:dyDescent="0.25">
      <c r="A144" s="272"/>
      <c r="B144" s="1"/>
      <c r="C144" s="1"/>
      <c r="D144" s="92">
        <v>1.028</v>
      </c>
      <c r="E144" s="15" t="s">
        <v>108</v>
      </c>
      <c r="F144" s="42">
        <f t="shared" si="4"/>
        <v>1.028</v>
      </c>
      <c r="G144" s="1"/>
      <c r="H144" s="1"/>
      <c r="I144" s="127" t="s">
        <v>108</v>
      </c>
      <c r="J144" s="92">
        <v>0.89949999999999997</v>
      </c>
      <c r="K144" s="101">
        <v>0.1285</v>
      </c>
    </row>
    <row r="145" spans="1:11" x14ac:dyDescent="0.25">
      <c r="A145" s="272"/>
      <c r="B145" s="1"/>
      <c r="C145" s="1"/>
      <c r="D145" s="92">
        <v>2.7653799999999999</v>
      </c>
      <c r="E145" s="15" t="s">
        <v>58</v>
      </c>
      <c r="F145" s="42">
        <f t="shared" si="4"/>
        <v>2.7653799999999999</v>
      </c>
      <c r="G145" s="1"/>
      <c r="H145" s="1"/>
      <c r="I145" s="127" t="s">
        <v>58</v>
      </c>
      <c r="J145" s="92">
        <v>0</v>
      </c>
      <c r="K145" s="92">
        <v>2.7653799999999999</v>
      </c>
    </row>
    <row r="146" spans="1:11" x14ac:dyDescent="0.25">
      <c r="A146" s="272"/>
      <c r="B146" s="1"/>
      <c r="C146" s="1"/>
      <c r="D146" s="92">
        <v>4.1239999999999999E-2</v>
      </c>
      <c r="E146" s="15" t="s">
        <v>154</v>
      </c>
      <c r="F146" s="42">
        <f t="shared" si="4"/>
        <v>4.1239999999999999E-2</v>
      </c>
      <c r="G146" s="1"/>
      <c r="H146" s="1"/>
      <c r="I146" s="127" t="s">
        <v>154</v>
      </c>
      <c r="J146" s="92">
        <v>4.1239999999999999E-2</v>
      </c>
      <c r="K146" s="101">
        <v>0</v>
      </c>
    </row>
    <row r="147" spans="1:11" ht="30" x14ac:dyDescent="0.25">
      <c r="A147" s="272"/>
      <c r="B147" s="1"/>
      <c r="C147" s="1"/>
      <c r="D147" s="92">
        <f>0.30602+0.09416+0.30602+0.32956</f>
        <v>1.03576</v>
      </c>
      <c r="E147" s="15" t="s">
        <v>155</v>
      </c>
      <c r="F147" s="42">
        <f t="shared" si="4"/>
        <v>1.03576</v>
      </c>
      <c r="G147" s="1"/>
      <c r="H147" s="1"/>
      <c r="I147" s="127" t="s">
        <v>155</v>
      </c>
      <c r="J147" s="92">
        <f>0.30602+0.09416+0.30602+0.08239</f>
        <v>0.7885899999999999</v>
      </c>
      <c r="K147" s="101">
        <f>0.24717</f>
        <v>0.24717</v>
      </c>
    </row>
    <row r="148" spans="1:11" x14ac:dyDescent="0.25">
      <c r="A148" s="272"/>
      <c r="B148" s="1"/>
      <c r="C148" s="1"/>
      <c r="D148" s="92">
        <v>6.7140000000000005E-2</v>
      </c>
      <c r="E148" s="15" t="s">
        <v>156</v>
      </c>
      <c r="F148" s="42">
        <f t="shared" si="4"/>
        <v>6.7140000000000005E-2</v>
      </c>
      <c r="G148" s="1"/>
      <c r="H148" s="1"/>
      <c r="I148" s="127" t="s">
        <v>156</v>
      </c>
      <c r="J148" s="92">
        <v>2.6859999999999998E-2</v>
      </c>
      <c r="K148" s="92">
        <v>4.0280000000000003E-2</v>
      </c>
    </row>
    <row r="149" spans="1:11" x14ac:dyDescent="0.25">
      <c r="A149" s="272"/>
      <c r="B149" s="1"/>
      <c r="C149" s="1"/>
      <c r="D149" s="92">
        <f>0.07723+0.13428</f>
        <v>0.21151</v>
      </c>
      <c r="E149" s="15" t="s">
        <v>157</v>
      </c>
      <c r="F149" s="42">
        <f t="shared" si="4"/>
        <v>0.21151</v>
      </c>
      <c r="G149" s="1"/>
      <c r="H149" s="1"/>
      <c r="I149" s="127" t="s">
        <v>157</v>
      </c>
      <c r="J149" s="92">
        <f>0.07723+0.04028</f>
        <v>0.11751</v>
      </c>
      <c r="K149" s="101">
        <f>0.094</f>
        <v>9.4E-2</v>
      </c>
    </row>
    <row r="150" spans="1:11" x14ac:dyDescent="0.25">
      <c r="A150" s="272"/>
      <c r="B150" s="1"/>
      <c r="C150" s="1"/>
      <c r="D150" s="92">
        <f>0.0612+0.0306</f>
        <v>9.1799999999999993E-2</v>
      </c>
      <c r="E150" s="15" t="s">
        <v>109</v>
      </c>
      <c r="F150" s="42">
        <f t="shared" si="4"/>
        <v>9.1799999999999993E-2</v>
      </c>
      <c r="G150" s="1"/>
      <c r="H150" s="1"/>
      <c r="I150" s="127" t="s">
        <v>109</v>
      </c>
      <c r="J150" s="92">
        <f>0.0612+0.01836</f>
        <v>7.9559999999999992E-2</v>
      </c>
      <c r="K150" s="101">
        <f>0.01224</f>
        <v>1.2239999999999999E-2</v>
      </c>
    </row>
    <row r="151" spans="1:11" x14ac:dyDescent="0.25">
      <c r="A151" s="272"/>
      <c r="B151" s="1"/>
      <c r="C151" s="1"/>
      <c r="D151" s="92">
        <f>0.48657+0.51591</f>
        <v>1.00248</v>
      </c>
      <c r="E151" s="15" t="s">
        <v>158</v>
      </c>
      <c r="F151" s="42">
        <f t="shared" si="4"/>
        <v>1.00248</v>
      </c>
      <c r="G151" s="1"/>
      <c r="H151" s="1"/>
      <c r="I151" s="127" t="s">
        <v>158</v>
      </c>
      <c r="J151" s="92">
        <f>0.48657+0.51591</f>
        <v>1.00248</v>
      </c>
      <c r="K151" s="101">
        <v>0</v>
      </c>
    </row>
    <row r="152" spans="1:11" x14ac:dyDescent="0.25">
      <c r="A152" s="272"/>
      <c r="B152" s="1"/>
      <c r="C152" s="1"/>
      <c r="D152" s="92">
        <f>0.11055+0.75799</f>
        <v>0.86854000000000009</v>
      </c>
      <c r="E152" s="15" t="s">
        <v>159</v>
      </c>
      <c r="F152" s="42">
        <f t="shared" si="4"/>
        <v>0.86854000000000009</v>
      </c>
      <c r="G152" s="1"/>
      <c r="H152" s="1"/>
      <c r="I152" s="127" t="s">
        <v>159</v>
      </c>
      <c r="J152" s="92">
        <f>0.11055+0.75799</f>
        <v>0.86854000000000009</v>
      </c>
      <c r="K152" s="101">
        <v>0</v>
      </c>
    </row>
    <row r="153" spans="1:11" x14ac:dyDescent="0.25">
      <c r="A153" s="272"/>
      <c r="B153" s="1"/>
      <c r="C153" s="1"/>
      <c r="D153" s="92">
        <v>15.589130000000001</v>
      </c>
      <c r="E153" s="15" t="s">
        <v>160</v>
      </c>
      <c r="F153" s="42">
        <f t="shared" si="4"/>
        <v>15.589130000000001</v>
      </c>
      <c r="G153" s="1"/>
      <c r="H153" s="1"/>
      <c r="I153" s="127" t="s">
        <v>160</v>
      </c>
      <c r="J153" s="92">
        <v>14.03021</v>
      </c>
      <c r="K153" s="101">
        <v>1.5589200000000001</v>
      </c>
    </row>
    <row r="154" spans="1:11" x14ac:dyDescent="0.25">
      <c r="A154" s="272"/>
      <c r="B154" s="1"/>
      <c r="C154" s="1"/>
      <c r="D154" s="92">
        <f>0.01485+0.04455</f>
        <v>5.9400000000000001E-2</v>
      </c>
      <c r="E154" s="15" t="s">
        <v>62</v>
      </c>
      <c r="F154" s="42">
        <f t="shared" si="4"/>
        <v>5.9400000000000001E-2</v>
      </c>
      <c r="G154" s="1"/>
      <c r="H154" s="1"/>
      <c r="I154" s="127" t="s">
        <v>161</v>
      </c>
      <c r="J154" s="92">
        <f>0.01485+0.0104</f>
        <v>2.5250000000000002E-2</v>
      </c>
      <c r="K154" s="101">
        <v>3.415E-2</v>
      </c>
    </row>
    <row r="155" spans="1:11" x14ac:dyDescent="0.25">
      <c r="A155" s="272"/>
      <c r="B155" s="1"/>
      <c r="C155" s="1"/>
      <c r="D155" s="92">
        <v>0.69474999999999998</v>
      </c>
      <c r="E155" s="15" t="s">
        <v>63</v>
      </c>
      <c r="F155" s="42">
        <f t="shared" si="4"/>
        <v>0.69474999999999998</v>
      </c>
      <c r="G155" s="1"/>
      <c r="H155" s="1"/>
      <c r="I155" s="127" t="s">
        <v>63</v>
      </c>
      <c r="J155" s="92">
        <v>0.69474999999999998</v>
      </c>
      <c r="K155" s="101">
        <v>0</v>
      </c>
    </row>
    <row r="156" spans="1:11" x14ac:dyDescent="0.25">
      <c r="A156" s="272"/>
      <c r="B156" s="1"/>
      <c r="C156" s="1"/>
      <c r="D156" s="92">
        <f>0.05254+0.13134</f>
        <v>0.18388000000000002</v>
      </c>
      <c r="E156" s="15" t="s">
        <v>64</v>
      </c>
      <c r="F156" s="42">
        <f t="shared" si="4"/>
        <v>0.18388000000000002</v>
      </c>
      <c r="G156" s="1"/>
      <c r="H156" s="1"/>
      <c r="I156" s="127" t="s">
        <v>64</v>
      </c>
      <c r="J156" s="92">
        <f>0.05254+0.13134</f>
        <v>0.18388000000000002</v>
      </c>
      <c r="K156" s="101">
        <v>0</v>
      </c>
    </row>
    <row r="157" spans="1:11" x14ac:dyDescent="0.25">
      <c r="A157" s="272"/>
      <c r="B157" s="1"/>
      <c r="C157" s="1"/>
      <c r="D157" s="92">
        <v>1.8679999999999999E-2</v>
      </c>
      <c r="E157" s="15" t="s">
        <v>162</v>
      </c>
      <c r="F157" s="42">
        <f t="shared" si="4"/>
        <v>1.8679999999999999E-2</v>
      </c>
      <c r="G157" s="1"/>
      <c r="H157" s="1"/>
      <c r="I157" s="127" t="s">
        <v>162</v>
      </c>
      <c r="J157" s="92">
        <v>0</v>
      </c>
      <c r="K157" s="101">
        <v>1.8679999999999999E-2</v>
      </c>
    </row>
    <row r="158" spans="1:11" x14ac:dyDescent="0.25">
      <c r="A158" s="272"/>
      <c r="B158" s="1"/>
      <c r="C158" s="1"/>
      <c r="D158" s="92">
        <v>0.88500000000000001</v>
      </c>
      <c r="E158" s="15" t="s">
        <v>163</v>
      </c>
      <c r="F158" s="42">
        <f t="shared" si="4"/>
        <v>0.88500000000000001</v>
      </c>
      <c r="G158" s="1"/>
      <c r="H158" s="1"/>
      <c r="I158" s="127" t="s">
        <v>163</v>
      </c>
      <c r="J158" s="92">
        <v>0.88500000000000001</v>
      </c>
      <c r="K158" s="101">
        <v>0</v>
      </c>
    </row>
    <row r="159" spans="1:11" x14ac:dyDescent="0.25">
      <c r="A159" s="272"/>
      <c r="B159" s="1"/>
      <c r="C159" s="1"/>
      <c r="D159" s="92">
        <v>0.1095</v>
      </c>
      <c r="E159" s="15" t="s">
        <v>164</v>
      </c>
      <c r="F159" s="42">
        <f t="shared" si="4"/>
        <v>0.1095</v>
      </c>
      <c r="G159" s="1"/>
      <c r="H159" s="1"/>
      <c r="I159" s="127" t="s">
        <v>164</v>
      </c>
      <c r="J159" s="92">
        <v>6.5699999999999995E-2</v>
      </c>
      <c r="K159" s="101">
        <v>4.3799999999999999E-2</v>
      </c>
    </row>
    <row r="160" spans="1:11" x14ac:dyDescent="0.25">
      <c r="A160" s="272"/>
      <c r="B160" s="1"/>
      <c r="C160" s="1"/>
      <c r="D160" s="92">
        <f>0.54236</f>
        <v>0.54235999999999995</v>
      </c>
      <c r="E160" s="15" t="s">
        <v>165</v>
      </c>
      <c r="F160" s="42">
        <v>0.54235999999999995</v>
      </c>
      <c r="G160" s="1"/>
      <c r="H160" s="1"/>
      <c r="I160" s="127" t="s">
        <v>165</v>
      </c>
      <c r="J160" s="92">
        <v>0.32768000000000003</v>
      </c>
      <c r="K160" s="101">
        <v>0.21468000000000001</v>
      </c>
    </row>
    <row r="161" spans="1:11" x14ac:dyDescent="0.25">
      <c r="A161" s="272"/>
      <c r="B161" s="1"/>
      <c r="C161" s="1"/>
      <c r="D161" s="92">
        <v>0.32250000000000001</v>
      </c>
      <c r="E161" s="15" t="s">
        <v>166</v>
      </c>
      <c r="F161" s="42">
        <f t="shared" ref="F161:F186" si="5">D161</f>
        <v>0.32250000000000001</v>
      </c>
      <c r="G161" s="1"/>
      <c r="H161" s="1"/>
      <c r="I161" s="127" t="s">
        <v>166</v>
      </c>
      <c r="J161" s="101">
        <v>0.32250000000000001</v>
      </c>
      <c r="K161" s="101">
        <v>0</v>
      </c>
    </row>
    <row r="162" spans="1:11" x14ac:dyDescent="0.25">
      <c r="A162" s="272"/>
      <c r="B162" s="1"/>
      <c r="C162" s="1"/>
      <c r="D162" s="92">
        <f>0.72866+0.58294</f>
        <v>1.3115999999999999</v>
      </c>
      <c r="E162" s="15" t="s">
        <v>69</v>
      </c>
      <c r="F162" s="42">
        <f t="shared" si="5"/>
        <v>1.3115999999999999</v>
      </c>
      <c r="G162" s="1"/>
      <c r="H162" s="1"/>
      <c r="I162" s="127" t="s">
        <v>69</v>
      </c>
      <c r="J162" s="92">
        <f>0.72866+0.32255</f>
        <v>1.05121</v>
      </c>
      <c r="K162" s="101">
        <v>0.26039000000000001</v>
      </c>
    </row>
    <row r="163" spans="1:11" x14ac:dyDescent="0.25">
      <c r="A163" s="272"/>
      <c r="B163" s="1"/>
      <c r="C163" s="1"/>
      <c r="D163" s="92">
        <v>0.21185999999999999</v>
      </c>
      <c r="E163" s="15" t="s">
        <v>167</v>
      </c>
      <c r="F163" s="42">
        <f t="shared" si="5"/>
        <v>0.21185999999999999</v>
      </c>
      <c r="G163" s="1"/>
      <c r="H163" s="1"/>
      <c r="I163" s="127" t="s">
        <v>167</v>
      </c>
      <c r="J163" s="92">
        <v>0.21185999999999999</v>
      </c>
      <c r="K163" s="101">
        <v>0</v>
      </c>
    </row>
    <row r="164" spans="1:11" ht="30" x14ac:dyDescent="0.25">
      <c r="A164" s="272"/>
      <c r="B164" s="1"/>
      <c r="C164" s="1"/>
      <c r="D164" s="92">
        <v>0.24890000000000001</v>
      </c>
      <c r="E164" s="15" t="s">
        <v>168</v>
      </c>
      <c r="F164" s="42">
        <f t="shared" si="5"/>
        <v>0.24890000000000001</v>
      </c>
      <c r="G164" s="1"/>
      <c r="H164" s="1"/>
      <c r="I164" s="127" t="s">
        <v>168</v>
      </c>
      <c r="J164" s="92">
        <v>0</v>
      </c>
      <c r="K164" s="101">
        <v>0.24890000000000001</v>
      </c>
    </row>
    <row r="165" spans="1:11" x14ac:dyDescent="0.25">
      <c r="A165" s="272"/>
      <c r="B165" s="1"/>
      <c r="C165" s="1"/>
      <c r="D165" s="92">
        <v>0.75600000000000001</v>
      </c>
      <c r="E165" s="15" t="s">
        <v>70</v>
      </c>
      <c r="F165" s="42">
        <f t="shared" si="5"/>
        <v>0.75600000000000001</v>
      </c>
      <c r="G165" s="1"/>
      <c r="H165" s="1"/>
      <c r="I165" s="127" t="s">
        <v>70</v>
      </c>
      <c r="J165" s="92">
        <v>0.75600000000000001</v>
      </c>
      <c r="K165" s="101">
        <v>0</v>
      </c>
    </row>
    <row r="166" spans="1:11" ht="30" x14ac:dyDescent="0.25">
      <c r="A166" s="272"/>
      <c r="B166" s="1"/>
      <c r="C166" s="1"/>
      <c r="D166" s="92">
        <v>0.21801999999999999</v>
      </c>
      <c r="E166" s="15" t="s">
        <v>169</v>
      </c>
      <c r="F166" s="42">
        <f t="shared" si="5"/>
        <v>0.21801999999999999</v>
      </c>
      <c r="G166" s="1"/>
      <c r="H166" s="1"/>
      <c r="I166" s="127" t="s">
        <v>169</v>
      </c>
      <c r="J166" s="92">
        <v>6.5409999999999996E-2</v>
      </c>
      <c r="K166" s="101">
        <v>0.15261</v>
      </c>
    </row>
    <row r="167" spans="1:11" ht="30" x14ac:dyDescent="0.25">
      <c r="A167" s="272"/>
      <c r="B167" s="1"/>
      <c r="C167" s="1"/>
      <c r="D167" s="92">
        <v>2.34572</v>
      </c>
      <c r="E167" s="15" t="s">
        <v>170</v>
      </c>
      <c r="F167" s="42">
        <f t="shared" si="5"/>
        <v>2.34572</v>
      </c>
      <c r="G167" s="1"/>
      <c r="H167" s="1"/>
      <c r="I167" s="127" t="s">
        <v>170</v>
      </c>
      <c r="J167" s="92">
        <v>1.17286</v>
      </c>
      <c r="K167" s="101">
        <v>1.17286</v>
      </c>
    </row>
    <row r="168" spans="1:11" x14ac:dyDescent="0.25">
      <c r="A168" s="272"/>
      <c r="B168" s="1"/>
      <c r="C168" s="1"/>
      <c r="D168" s="92">
        <v>5.6599999999999998E-2</v>
      </c>
      <c r="E168" s="15" t="s">
        <v>171</v>
      </c>
      <c r="F168" s="42">
        <f t="shared" si="5"/>
        <v>5.6599999999999998E-2</v>
      </c>
      <c r="G168" s="1"/>
      <c r="H168" s="1"/>
      <c r="I168" s="127" t="s">
        <v>171</v>
      </c>
      <c r="J168" s="92">
        <f>D168</f>
        <v>5.6599999999999998E-2</v>
      </c>
      <c r="K168" s="101">
        <v>0</v>
      </c>
    </row>
    <row r="169" spans="1:11" ht="30" x14ac:dyDescent="0.25">
      <c r="A169" s="272"/>
      <c r="B169" s="1"/>
      <c r="C169" s="1"/>
      <c r="D169" s="92">
        <f>3.61574+0.80357+0.7062</f>
        <v>5.1255100000000002</v>
      </c>
      <c r="E169" s="15" t="s">
        <v>172</v>
      </c>
      <c r="F169" s="93">
        <f t="shared" si="5"/>
        <v>5.1255100000000002</v>
      </c>
      <c r="G169" s="1"/>
      <c r="H169" s="1"/>
      <c r="I169" s="127" t="s">
        <v>172</v>
      </c>
      <c r="J169" s="92">
        <v>5.1260000000000003</v>
      </c>
      <c r="K169" s="92">
        <v>0</v>
      </c>
    </row>
    <row r="170" spans="1:11" x14ac:dyDescent="0.25">
      <c r="A170" s="272"/>
      <c r="B170" s="1"/>
      <c r="C170" s="1"/>
      <c r="D170" s="92">
        <v>0.84545999999999999</v>
      </c>
      <c r="E170" s="1" t="s">
        <v>173</v>
      </c>
      <c r="F170" s="93">
        <f t="shared" si="5"/>
        <v>0.84545999999999999</v>
      </c>
      <c r="G170" s="1"/>
      <c r="H170" s="1"/>
      <c r="I170" s="128" t="s">
        <v>173</v>
      </c>
      <c r="J170" s="92">
        <v>0.84545999999999999</v>
      </c>
      <c r="K170" s="92">
        <v>0</v>
      </c>
    </row>
    <row r="171" spans="1:11" x14ac:dyDescent="0.25">
      <c r="A171" s="272"/>
      <c r="B171" s="1"/>
      <c r="C171" s="1"/>
      <c r="D171" s="92">
        <v>6.0389999999999999E-2</v>
      </c>
      <c r="E171" s="1" t="s">
        <v>174</v>
      </c>
      <c r="F171" s="93">
        <f t="shared" si="5"/>
        <v>6.0389999999999999E-2</v>
      </c>
      <c r="G171" s="1"/>
      <c r="H171" s="1"/>
      <c r="I171" s="128" t="s">
        <v>174</v>
      </c>
      <c r="J171" s="92">
        <v>6.0389999999999999E-2</v>
      </c>
      <c r="K171" s="92">
        <v>0</v>
      </c>
    </row>
    <row r="172" spans="1:11" x14ac:dyDescent="0.25">
      <c r="A172" s="272"/>
      <c r="B172" s="1"/>
      <c r="C172" s="1"/>
      <c r="D172" s="92">
        <v>13.696730000000001</v>
      </c>
      <c r="E172" s="1" t="s">
        <v>77</v>
      </c>
      <c r="F172" s="93">
        <f t="shared" si="5"/>
        <v>13.696730000000001</v>
      </c>
      <c r="G172" s="1"/>
      <c r="H172" s="1"/>
      <c r="I172" s="128" t="s">
        <v>77</v>
      </c>
      <c r="J172" s="92">
        <v>13.13743</v>
      </c>
      <c r="K172" s="92">
        <v>0.55930000000000002</v>
      </c>
    </row>
    <row r="173" spans="1:11" ht="30" x14ac:dyDescent="0.25">
      <c r="A173" s="272"/>
      <c r="B173" s="1"/>
      <c r="C173" s="1"/>
      <c r="D173" s="92">
        <v>0.45902999999999999</v>
      </c>
      <c r="E173" s="15" t="s">
        <v>175</v>
      </c>
      <c r="F173" s="93">
        <f t="shared" si="5"/>
        <v>0.45902999999999999</v>
      </c>
      <c r="G173" s="1"/>
      <c r="H173" s="1"/>
      <c r="I173" s="127" t="s">
        <v>175</v>
      </c>
      <c r="J173" s="92">
        <v>0.35310000000000002</v>
      </c>
      <c r="K173" s="92">
        <v>0.10593</v>
      </c>
    </row>
    <row r="174" spans="1:11" ht="30" x14ac:dyDescent="0.25">
      <c r="A174" s="272"/>
      <c r="B174" s="1"/>
      <c r="C174" s="1"/>
      <c r="D174" s="92">
        <f>0.07918+0.07918+0.07233</f>
        <v>0.23069000000000001</v>
      </c>
      <c r="E174" s="15" t="s">
        <v>176</v>
      </c>
      <c r="F174" s="93">
        <f t="shared" si="5"/>
        <v>0.23069000000000001</v>
      </c>
      <c r="G174" s="1"/>
      <c r="H174" s="1"/>
      <c r="I174" s="127" t="s">
        <v>176</v>
      </c>
      <c r="J174" s="92">
        <v>0.18184</v>
      </c>
      <c r="K174" s="92">
        <v>4.8849999999999998E-2</v>
      </c>
    </row>
    <row r="175" spans="1:11" ht="30" x14ac:dyDescent="0.25">
      <c r="A175" s="272"/>
      <c r="B175" s="1"/>
      <c r="C175" s="1"/>
      <c r="D175" s="92">
        <v>5.2639999999999999E-2</v>
      </c>
      <c r="E175" s="15" t="s">
        <v>177</v>
      </c>
      <c r="F175" s="93">
        <f t="shared" si="5"/>
        <v>5.2639999999999999E-2</v>
      </c>
      <c r="G175" s="1"/>
      <c r="H175" s="1"/>
      <c r="I175" s="127" t="s">
        <v>177</v>
      </c>
      <c r="J175" s="92">
        <v>5.2639999999999999E-2</v>
      </c>
      <c r="K175" s="92">
        <v>0</v>
      </c>
    </row>
    <row r="176" spans="1:11" x14ac:dyDescent="0.25">
      <c r="A176" s="272"/>
      <c r="B176" s="1"/>
      <c r="C176" s="1"/>
      <c r="D176" s="92">
        <v>0.20127</v>
      </c>
      <c r="E176" s="1" t="s">
        <v>178</v>
      </c>
      <c r="F176" s="93">
        <f t="shared" si="5"/>
        <v>0.20127</v>
      </c>
      <c r="G176" s="1"/>
      <c r="H176" s="1"/>
      <c r="I176" s="128" t="s">
        <v>178</v>
      </c>
      <c r="J176" s="92">
        <v>0.20127</v>
      </c>
      <c r="K176" s="92">
        <v>0</v>
      </c>
    </row>
    <row r="177" spans="1:11" x14ac:dyDescent="0.25">
      <c r="A177" s="272"/>
      <c r="B177" s="1"/>
      <c r="C177" s="1"/>
      <c r="D177" s="92">
        <v>0.21929999999999999</v>
      </c>
      <c r="E177" s="1" t="s">
        <v>179</v>
      </c>
      <c r="F177" s="93">
        <f t="shared" si="5"/>
        <v>0.21929999999999999</v>
      </c>
      <c r="G177" s="1"/>
      <c r="H177" s="1"/>
      <c r="I177" s="128" t="s">
        <v>179</v>
      </c>
      <c r="J177" s="92">
        <v>0.11609999999999999</v>
      </c>
      <c r="K177" s="92">
        <v>0.1032</v>
      </c>
    </row>
    <row r="178" spans="1:11" x14ac:dyDescent="0.25">
      <c r="A178" s="272"/>
      <c r="B178" s="1"/>
      <c r="C178" s="1"/>
      <c r="D178" s="92">
        <f>0.222+1.4589</f>
        <v>1.6809000000000001</v>
      </c>
      <c r="E178" s="1" t="s">
        <v>180</v>
      </c>
      <c r="F178" s="93">
        <f t="shared" si="5"/>
        <v>1.6809000000000001</v>
      </c>
      <c r="G178" s="1"/>
      <c r="H178" s="1"/>
      <c r="I178" s="128" t="s">
        <v>180</v>
      </c>
      <c r="J178" s="92">
        <v>1.1297600000000001</v>
      </c>
      <c r="K178" s="92">
        <v>0.55113999999999996</v>
      </c>
    </row>
    <row r="179" spans="1:11" x14ac:dyDescent="0.25">
      <c r="A179" s="272"/>
      <c r="B179" s="1"/>
      <c r="C179" s="1"/>
      <c r="D179" s="92">
        <v>0.2064</v>
      </c>
      <c r="E179" s="1" t="s">
        <v>181</v>
      </c>
      <c r="F179" s="93">
        <f t="shared" si="5"/>
        <v>0.2064</v>
      </c>
      <c r="G179" s="1"/>
      <c r="H179" s="1"/>
      <c r="I179" s="128" t="s">
        <v>181</v>
      </c>
      <c r="J179" s="92">
        <v>0.2064</v>
      </c>
      <c r="K179" s="92">
        <v>0</v>
      </c>
    </row>
    <row r="180" spans="1:11" x14ac:dyDescent="0.25">
      <c r="A180" s="272"/>
      <c r="B180" s="1"/>
      <c r="C180" s="1"/>
      <c r="D180" s="92">
        <v>10.098660000000001</v>
      </c>
      <c r="E180" s="1" t="s">
        <v>182</v>
      </c>
      <c r="F180" s="93">
        <f t="shared" si="5"/>
        <v>10.098660000000001</v>
      </c>
      <c r="G180" s="1"/>
      <c r="H180" s="1"/>
      <c r="I180" s="128" t="s">
        <v>182</v>
      </c>
      <c r="J180" s="92">
        <v>10.098660000000001</v>
      </c>
      <c r="K180" s="92">
        <v>0</v>
      </c>
    </row>
    <row r="181" spans="1:11" x14ac:dyDescent="0.25">
      <c r="A181" s="272"/>
      <c r="B181" s="1"/>
      <c r="C181" s="1"/>
      <c r="D181" s="92">
        <f>2.33046+8.70039</f>
        <v>11.030850000000001</v>
      </c>
      <c r="E181" s="1" t="s">
        <v>89</v>
      </c>
      <c r="F181" s="93">
        <f t="shared" si="5"/>
        <v>11.030850000000001</v>
      </c>
      <c r="G181" s="1"/>
      <c r="H181" s="1"/>
      <c r="I181" s="128" t="s">
        <v>89</v>
      </c>
      <c r="J181" s="92">
        <v>9.6731499999999997</v>
      </c>
      <c r="K181" s="92">
        <v>1.3577900000000001</v>
      </c>
    </row>
    <row r="182" spans="1:11" ht="45" x14ac:dyDescent="0.25">
      <c r="A182" s="272"/>
      <c r="B182" s="1"/>
      <c r="C182" s="1"/>
      <c r="D182" s="92">
        <v>0.73028000000000004</v>
      </c>
      <c r="E182" s="15" t="s">
        <v>183</v>
      </c>
      <c r="F182" s="93">
        <f t="shared" si="5"/>
        <v>0.73028000000000004</v>
      </c>
      <c r="G182" s="1"/>
      <c r="H182" s="1"/>
      <c r="I182" s="127" t="s">
        <v>184</v>
      </c>
      <c r="J182" s="92">
        <v>0.73028000000000004</v>
      </c>
      <c r="K182" s="92">
        <v>0</v>
      </c>
    </row>
    <row r="183" spans="1:11" ht="45" x14ac:dyDescent="0.25">
      <c r="A183" s="272"/>
      <c r="B183" s="1"/>
      <c r="C183" s="1"/>
      <c r="D183" s="92">
        <v>2.4039999999999999</v>
      </c>
      <c r="E183" s="15" t="s">
        <v>185</v>
      </c>
      <c r="F183" s="94">
        <f t="shared" si="5"/>
        <v>2.4039999999999999</v>
      </c>
      <c r="G183" s="1"/>
      <c r="H183" s="1"/>
      <c r="I183" s="127" t="s">
        <v>185</v>
      </c>
      <c r="J183" s="92">
        <v>2.4039999999999999</v>
      </c>
      <c r="K183" s="92">
        <v>0</v>
      </c>
    </row>
    <row r="184" spans="1:11" ht="45" x14ac:dyDescent="0.25">
      <c r="A184" s="272"/>
      <c r="B184" s="1"/>
      <c r="C184" s="1"/>
      <c r="D184" s="92">
        <v>4.0868000000000002</v>
      </c>
      <c r="E184" s="15" t="s">
        <v>186</v>
      </c>
      <c r="F184" s="93">
        <f t="shared" si="5"/>
        <v>4.0868000000000002</v>
      </c>
      <c r="G184" s="1"/>
      <c r="H184" s="1"/>
      <c r="I184" s="127" t="s">
        <v>186</v>
      </c>
      <c r="J184" s="92">
        <v>2.99899</v>
      </c>
      <c r="K184" s="92">
        <v>1.0878099999999999</v>
      </c>
    </row>
    <row r="185" spans="1:11" ht="45" x14ac:dyDescent="0.25">
      <c r="A185" s="272"/>
      <c r="B185" s="1"/>
      <c r="C185" s="1"/>
      <c r="D185" s="92">
        <v>4.3272000000000004</v>
      </c>
      <c r="E185" s="15" t="s">
        <v>204</v>
      </c>
      <c r="F185" s="93">
        <f t="shared" si="5"/>
        <v>4.3272000000000004</v>
      </c>
      <c r="G185" s="1"/>
      <c r="H185" s="1"/>
      <c r="I185" s="127" t="s">
        <v>186</v>
      </c>
      <c r="J185" s="92">
        <v>1.3823000000000001</v>
      </c>
      <c r="K185" s="92">
        <v>2.9449000000000001</v>
      </c>
    </row>
    <row r="186" spans="1:11" ht="45" x14ac:dyDescent="0.25">
      <c r="A186" s="272"/>
      <c r="B186" s="1"/>
      <c r="C186" s="1"/>
      <c r="D186" s="92">
        <v>3.3054999999999999</v>
      </c>
      <c r="E186" s="15" t="s">
        <v>205</v>
      </c>
      <c r="F186" s="93">
        <f t="shared" si="5"/>
        <v>3.3054999999999999</v>
      </c>
      <c r="G186" s="1"/>
      <c r="H186" s="1"/>
      <c r="I186" s="127" t="s">
        <v>205</v>
      </c>
      <c r="J186" s="92">
        <v>3.3054999999999999</v>
      </c>
      <c r="K186" s="92">
        <v>0</v>
      </c>
    </row>
    <row r="187" spans="1:11" x14ac:dyDescent="0.25">
      <c r="A187" s="272"/>
      <c r="B187" s="1"/>
      <c r="C187" s="1"/>
      <c r="D187" s="92">
        <v>2.3210199999999999</v>
      </c>
      <c r="E187" s="15" t="s">
        <v>187</v>
      </c>
      <c r="F187" s="93">
        <v>2.3210199999999999</v>
      </c>
      <c r="G187" s="1"/>
      <c r="H187" s="1"/>
      <c r="I187" s="127" t="s">
        <v>187</v>
      </c>
      <c r="J187" s="92">
        <v>2.3210199999999999</v>
      </c>
      <c r="K187" s="92">
        <v>0</v>
      </c>
    </row>
    <row r="188" spans="1:11" x14ac:dyDescent="0.25">
      <c r="A188" s="272"/>
      <c r="B188" s="1"/>
      <c r="C188" s="1"/>
      <c r="D188" s="92">
        <v>1.7351300000000001</v>
      </c>
      <c r="E188" s="15" t="s">
        <v>188</v>
      </c>
      <c r="F188" s="93">
        <f t="shared" ref="F188:F194" si="6">D188</f>
        <v>1.7351300000000001</v>
      </c>
      <c r="G188" s="1"/>
      <c r="H188" s="1"/>
      <c r="I188" s="127" t="s">
        <v>188</v>
      </c>
      <c r="J188" s="92">
        <v>1.7351300000000001</v>
      </c>
      <c r="K188" s="92">
        <v>0</v>
      </c>
    </row>
    <row r="189" spans="1:11" x14ac:dyDescent="0.25">
      <c r="A189" s="272"/>
      <c r="B189" s="1"/>
      <c r="C189" s="1"/>
      <c r="D189" s="92">
        <f>0.8113+1.38886+0.13968</f>
        <v>2.3398399999999997</v>
      </c>
      <c r="E189" s="15" t="s">
        <v>91</v>
      </c>
      <c r="F189" s="93">
        <f t="shared" si="6"/>
        <v>2.3398399999999997</v>
      </c>
      <c r="G189" s="1"/>
      <c r="H189" s="1"/>
      <c r="I189" s="127" t="s">
        <v>91</v>
      </c>
      <c r="J189" s="92">
        <f>0.8113+1.38886+0.13968</f>
        <v>2.3398399999999997</v>
      </c>
      <c r="K189" s="92">
        <v>0</v>
      </c>
    </row>
    <row r="190" spans="1:11" ht="30" x14ac:dyDescent="0.25">
      <c r="A190" s="272"/>
      <c r="B190" s="1"/>
      <c r="C190" s="1"/>
      <c r="D190" s="92">
        <v>1.83538</v>
      </c>
      <c r="E190" s="15" t="s">
        <v>189</v>
      </c>
      <c r="F190" s="93">
        <f t="shared" si="6"/>
        <v>1.83538</v>
      </c>
      <c r="G190" s="1"/>
      <c r="H190" s="1"/>
      <c r="I190" s="127" t="s">
        <v>189</v>
      </c>
      <c r="J190" s="92">
        <v>0</v>
      </c>
      <c r="K190" s="92">
        <v>1.83538</v>
      </c>
    </row>
    <row r="191" spans="1:11" x14ac:dyDescent="0.25">
      <c r="A191" s="272"/>
      <c r="B191" s="1"/>
      <c r="C191" s="1"/>
      <c r="D191" s="92">
        <v>0.48992999999999998</v>
      </c>
      <c r="E191" s="15" t="s">
        <v>197</v>
      </c>
      <c r="F191" s="93">
        <f t="shared" si="6"/>
        <v>0.48992999999999998</v>
      </c>
      <c r="G191" s="1"/>
      <c r="H191" s="1"/>
      <c r="I191" s="127" t="s">
        <v>197</v>
      </c>
      <c r="J191" s="92">
        <v>0.48992999999999998</v>
      </c>
      <c r="K191" s="92">
        <v>0</v>
      </c>
    </row>
    <row r="192" spans="1:11" x14ac:dyDescent="0.25">
      <c r="A192" s="272"/>
      <c r="B192" s="1"/>
      <c r="C192" s="1"/>
      <c r="D192" s="92">
        <v>6.7630299999999997</v>
      </c>
      <c r="E192" s="15" t="s">
        <v>190</v>
      </c>
      <c r="F192" s="93">
        <f t="shared" si="6"/>
        <v>6.7630299999999997</v>
      </c>
      <c r="G192" s="1"/>
      <c r="H192" s="1"/>
      <c r="I192" s="127" t="s">
        <v>190</v>
      </c>
      <c r="J192" s="92">
        <v>6.7630299999999997</v>
      </c>
      <c r="K192" s="92">
        <v>0</v>
      </c>
    </row>
    <row r="193" spans="1:12" x14ac:dyDescent="0.25">
      <c r="A193" s="272"/>
      <c r="B193" s="1"/>
      <c r="C193" s="1"/>
      <c r="D193" s="92">
        <v>0.19155</v>
      </c>
      <c r="E193" s="15" t="s">
        <v>191</v>
      </c>
      <c r="F193" s="93">
        <f t="shared" si="6"/>
        <v>0.19155</v>
      </c>
      <c r="G193" s="1"/>
      <c r="H193" s="1"/>
      <c r="I193" s="127" t="s">
        <v>191</v>
      </c>
      <c r="J193" s="92">
        <v>0.16206999999999999</v>
      </c>
      <c r="K193" s="92">
        <v>2.9479999999999999E-2</v>
      </c>
    </row>
    <row r="194" spans="1:12" x14ac:dyDescent="0.25">
      <c r="A194" s="272"/>
      <c r="B194" s="1"/>
      <c r="C194" s="1"/>
      <c r="D194" s="92">
        <v>0.47499999999999998</v>
      </c>
      <c r="E194" s="15" t="s">
        <v>192</v>
      </c>
      <c r="F194" s="93">
        <f t="shared" si="6"/>
        <v>0.47499999999999998</v>
      </c>
      <c r="G194" s="1"/>
      <c r="H194" s="1"/>
      <c r="I194" s="127" t="s">
        <v>192</v>
      </c>
      <c r="J194" s="92">
        <v>0.33250000000000002</v>
      </c>
      <c r="K194" s="92">
        <v>0.14249999999999999</v>
      </c>
    </row>
    <row r="195" spans="1:12" x14ac:dyDescent="0.25">
      <c r="A195" s="272"/>
      <c r="B195" s="1"/>
      <c r="C195" s="1"/>
      <c r="D195" s="92">
        <v>0.68240000000000001</v>
      </c>
      <c r="E195" s="15" t="s">
        <v>193</v>
      </c>
      <c r="F195" s="93">
        <v>0.68240000000000001</v>
      </c>
      <c r="G195" s="1"/>
      <c r="H195" s="1"/>
      <c r="I195" s="127" t="s">
        <v>193</v>
      </c>
      <c r="J195" s="92">
        <v>0.68240000000000001</v>
      </c>
      <c r="K195" s="92">
        <v>0</v>
      </c>
    </row>
    <row r="196" spans="1:12" x14ac:dyDescent="0.25">
      <c r="A196" s="272"/>
      <c r="B196" s="1"/>
      <c r="C196" s="1"/>
      <c r="D196" s="92">
        <f>1.27459+0.79662</f>
        <v>2.0712099999999998</v>
      </c>
      <c r="E196" s="15" t="s">
        <v>194</v>
      </c>
      <c r="F196" s="93">
        <f t="shared" ref="F196:F235" si="7">D196</f>
        <v>2.0712099999999998</v>
      </c>
      <c r="G196" s="1"/>
      <c r="H196" s="1"/>
      <c r="I196" s="127" t="s">
        <v>194</v>
      </c>
      <c r="J196" s="92">
        <v>1.4976499999999999</v>
      </c>
      <c r="K196" s="92">
        <v>0.57355999999999996</v>
      </c>
    </row>
    <row r="197" spans="1:12" x14ac:dyDescent="0.25">
      <c r="A197" s="272"/>
      <c r="B197" s="1"/>
      <c r="C197" s="1"/>
      <c r="D197" s="92">
        <v>0.68240000000000001</v>
      </c>
      <c r="E197" s="15" t="s">
        <v>195</v>
      </c>
      <c r="F197" s="93">
        <f t="shared" si="7"/>
        <v>0.68240000000000001</v>
      </c>
      <c r="G197" s="1"/>
      <c r="H197" s="1"/>
      <c r="I197" s="127" t="s">
        <v>195</v>
      </c>
      <c r="J197" s="92">
        <v>0.68240000000000001</v>
      </c>
      <c r="K197" s="92">
        <v>0</v>
      </c>
    </row>
    <row r="198" spans="1:12" x14ac:dyDescent="0.25">
      <c r="A198" s="272"/>
      <c r="B198" s="1"/>
      <c r="C198" s="1"/>
      <c r="D198" s="92">
        <f>1.32134+1.32734</f>
        <v>2.6486799999999997</v>
      </c>
      <c r="E198" s="15" t="s">
        <v>196</v>
      </c>
      <c r="F198" s="93">
        <f t="shared" si="7"/>
        <v>2.6486799999999997</v>
      </c>
      <c r="G198" s="1"/>
      <c r="H198" s="1"/>
      <c r="I198" s="127" t="s">
        <v>196</v>
      </c>
      <c r="J198" s="92">
        <v>0.39639999999999997</v>
      </c>
      <c r="K198" s="92">
        <v>2.2522799999999998</v>
      </c>
    </row>
    <row r="199" spans="1:12" ht="30" x14ac:dyDescent="0.25">
      <c r="A199" s="272"/>
      <c r="B199" s="1"/>
      <c r="C199" s="1"/>
      <c r="D199" s="92">
        <v>0.22128</v>
      </c>
      <c r="E199" s="15" t="s">
        <v>198</v>
      </c>
      <c r="F199" s="93">
        <f t="shared" si="7"/>
        <v>0.22128</v>
      </c>
      <c r="G199" s="1"/>
      <c r="H199" s="1"/>
      <c r="I199" s="127" t="s">
        <v>198</v>
      </c>
      <c r="J199" s="92">
        <v>0.22128</v>
      </c>
      <c r="K199" s="92">
        <v>0</v>
      </c>
    </row>
    <row r="200" spans="1:12" x14ac:dyDescent="0.25">
      <c r="A200" s="272"/>
      <c r="B200" s="1"/>
      <c r="C200" s="1"/>
      <c r="D200" s="92">
        <f>0.09054+0.368+0.093+0.44156</f>
        <v>0.99310000000000009</v>
      </c>
      <c r="E200" s="15" t="s">
        <v>101</v>
      </c>
      <c r="F200" s="93">
        <f t="shared" si="7"/>
        <v>0.99310000000000009</v>
      </c>
      <c r="G200" s="1"/>
      <c r="H200" s="1"/>
      <c r="I200" s="127" t="s">
        <v>101</v>
      </c>
      <c r="J200" s="92">
        <v>0.87656000000000001</v>
      </c>
      <c r="K200" s="92">
        <v>0.11654</v>
      </c>
    </row>
    <row r="201" spans="1:12" x14ac:dyDescent="0.25">
      <c r="A201" s="272"/>
      <c r="B201" s="1"/>
      <c r="C201" s="1"/>
      <c r="D201" s="92">
        <f>0.549+1.396</f>
        <v>1.9449999999999998</v>
      </c>
      <c r="E201" s="15" t="s">
        <v>200</v>
      </c>
      <c r="F201" s="93">
        <f t="shared" si="7"/>
        <v>1.9449999999999998</v>
      </c>
      <c r="G201" s="1"/>
      <c r="H201" s="1"/>
      <c r="I201" s="127" t="s">
        <v>199</v>
      </c>
      <c r="J201" s="92">
        <v>1.43546</v>
      </c>
      <c r="K201" s="92">
        <v>0.50953999999999999</v>
      </c>
    </row>
    <row r="202" spans="1:12" x14ac:dyDescent="0.25">
      <c r="A202" s="272"/>
      <c r="B202" s="1"/>
      <c r="C202" s="1"/>
      <c r="D202" s="92">
        <f>0.4171+0.535+0.9416</f>
        <v>1.8936999999999999</v>
      </c>
      <c r="E202" s="15" t="s">
        <v>104</v>
      </c>
      <c r="F202" s="93">
        <f t="shared" si="7"/>
        <v>1.8936999999999999</v>
      </c>
      <c r="G202" s="1"/>
      <c r="H202" s="1"/>
      <c r="I202" s="127" t="s">
        <v>104</v>
      </c>
      <c r="J202" s="92">
        <v>1.3045599999999999</v>
      </c>
      <c r="K202" s="92">
        <v>0.58914</v>
      </c>
    </row>
    <row r="203" spans="1:12" x14ac:dyDescent="0.25">
      <c r="A203" s="272"/>
      <c r="B203" s="1"/>
      <c r="C203" s="1"/>
      <c r="D203" s="92">
        <v>1.7784</v>
      </c>
      <c r="E203" s="15" t="s">
        <v>201</v>
      </c>
      <c r="F203" s="93">
        <f t="shared" si="7"/>
        <v>1.7784</v>
      </c>
      <c r="G203" s="1"/>
      <c r="H203" s="1"/>
      <c r="I203" s="127" t="s">
        <v>201</v>
      </c>
      <c r="J203" s="92">
        <v>1.69746</v>
      </c>
      <c r="K203" s="92">
        <v>8.0939999999999998E-2</v>
      </c>
    </row>
    <row r="204" spans="1:12" x14ac:dyDescent="0.25">
      <c r="A204" s="272"/>
      <c r="B204" s="1"/>
      <c r="C204" s="1"/>
      <c r="D204" s="92">
        <f>0.21507+1.19928</f>
        <v>1.41435</v>
      </c>
      <c r="E204" s="15" t="s">
        <v>202</v>
      </c>
      <c r="F204" s="93">
        <f t="shared" si="7"/>
        <v>1.41435</v>
      </c>
      <c r="G204" s="1"/>
      <c r="H204" s="1"/>
      <c r="I204" s="127" t="s">
        <v>202</v>
      </c>
      <c r="J204" s="92">
        <f>0.21507+1.19928</f>
        <v>1.41435</v>
      </c>
      <c r="K204" s="92">
        <v>0</v>
      </c>
    </row>
    <row r="205" spans="1:12" x14ac:dyDescent="0.25">
      <c r="A205" s="272"/>
      <c r="B205" s="1"/>
      <c r="C205" s="1"/>
      <c r="D205" s="92">
        <v>0.15095</v>
      </c>
      <c r="E205" s="15" t="s">
        <v>203</v>
      </c>
      <c r="F205" s="93">
        <f t="shared" si="7"/>
        <v>0.15095</v>
      </c>
      <c r="G205" s="1"/>
      <c r="H205" s="1"/>
      <c r="I205" s="127" t="s">
        <v>203</v>
      </c>
      <c r="J205" s="92">
        <v>0.15095</v>
      </c>
      <c r="K205" s="92">
        <v>0</v>
      </c>
    </row>
    <row r="206" spans="1:12" x14ac:dyDescent="0.25">
      <c r="A206" s="277"/>
      <c r="B206" s="1"/>
      <c r="C206" s="1"/>
      <c r="D206" s="92">
        <v>7.4779999999999999E-2</v>
      </c>
      <c r="E206" s="1" t="s">
        <v>149</v>
      </c>
      <c r="F206" s="106">
        <f t="shared" si="7"/>
        <v>7.4779999999999999E-2</v>
      </c>
      <c r="G206" s="1"/>
      <c r="H206" s="1"/>
      <c r="I206" s="1" t="s">
        <v>149</v>
      </c>
      <c r="J206" s="92">
        <v>2.2440000000000002E-2</v>
      </c>
      <c r="K206" s="150">
        <v>5.2339999999999998E-2</v>
      </c>
      <c r="L206" s="38"/>
    </row>
    <row r="207" spans="1:12" x14ac:dyDescent="0.25">
      <c r="A207" s="277"/>
      <c r="B207" s="1"/>
      <c r="C207" s="1"/>
      <c r="D207" s="92">
        <f>1.1484+0.3144</f>
        <v>1.4628000000000001</v>
      </c>
      <c r="E207" s="1" t="s">
        <v>56</v>
      </c>
      <c r="F207" s="106">
        <f t="shared" si="7"/>
        <v>1.4628000000000001</v>
      </c>
      <c r="G207" s="1"/>
      <c r="H207" s="1"/>
      <c r="I207" s="1" t="s">
        <v>56</v>
      </c>
      <c r="J207" s="151">
        <f>0.59334+0.3144</f>
        <v>0.90773999999999999</v>
      </c>
      <c r="K207" s="150">
        <v>0.55525999999999998</v>
      </c>
      <c r="L207" s="38"/>
    </row>
    <row r="208" spans="1:12" ht="30" x14ac:dyDescent="0.25">
      <c r="A208" s="277"/>
      <c r="B208" s="1"/>
      <c r="C208" s="1"/>
      <c r="D208" s="92">
        <v>0.13919999999999999</v>
      </c>
      <c r="E208" s="15" t="s">
        <v>306</v>
      </c>
      <c r="F208" s="106">
        <f t="shared" si="7"/>
        <v>0.13919999999999999</v>
      </c>
      <c r="G208" s="1"/>
      <c r="H208" s="1"/>
      <c r="I208" s="15" t="s">
        <v>306</v>
      </c>
      <c r="J208" s="92">
        <v>0.13919999999999999</v>
      </c>
      <c r="K208" s="150">
        <v>0</v>
      </c>
      <c r="L208" s="38"/>
    </row>
    <row r="209" spans="1:12" x14ac:dyDescent="0.25">
      <c r="A209" s="277"/>
      <c r="B209" s="1"/>
      <c r="C209" s="1"/>
      <c r="D209" s="92">
        <v>0.64249999999999996</v>
      </c>
      <c r="E209" s="1" t="s">
        <v>307</v>
      </c>
      <c r="F209" s="106">
        <f t="shared" si="7"/>
        <v>0.64249999999999996</v>
      </c>
      <c r="G209" s="1"/>
      <c r="H209" s="1"/>
      <c r="I209" s="1" t="s">
        <v>307</v>
      </c>
      <c r="J209" s="92">
        <v>0.64249999999999996</v>
      </c>
      <c r="K209" s="150">
        <v>0</v>
      </c>
      <c r="L209" s="38"/>
    </row>
    <row r="210" spans="1:12" x14ac:dyDescent="0.25">
      <c r="A210" s="277"/>
      <c r="B210" s="1"/>
      <c r="C210" s="1"/>
      <c r="D210" s="92">
        <v>0.76800000000000002</v>
      </c>
      <c r="E210" s="1" t="s">
        <v>309</v>
      </c>
      <c r="F210" s="106">
        <f t="shared" si="7"/>
        <v>0.76800000000000002</v>
      </c>
      <c r="G210" s="1"/>
      <c r="H210" s="1"/>
      <c r="I210" s="1" t="s">
        <v>309</v>
      </c>
      <c r="J210" s="92">
        <v>0.76800000000000002</v>
      </c>
      <c r="K210" s="150">
        <v>0</v>
      </c>
      <c r="L210" s="38"/>
    </row>
    <row r="211" spans="1:12" x14ac:dyDescent="0.25">
      <c r="A211" s="277"/>
      <c r="B211" s="1"/>
      <c r="C211" s="1"/>
      <c r="D211" s="92">
        <v>6.1800000000000001E-2</v>
      </c>
      <c r="E211" s="1" t="s">
        <v>310</v>
      </c>
      <c r="F211" s="106">
        <f t="shared" si="7"/>
        <v>6.1800000000000001E-2</v>
      </c>
      <c r="G211" s="1"/>
      <c r="H211" s="1"/>
      <c r="I211" s="1" t="s">
        <v>310</v>
      </c>
      <c r="J211" s="150">
        <v>6.1799999999999997E-3</v>
      </c>
      <c r="K211" s="150">
        <v>5.568E-2</v>
      </c>
      <c r="L211" s="38"/>
    </row>
    <row r="212" spans="1:12" x14ac:dyDescent="0.25">
      <c r="A212" s="277"/>
      <c r="B212" s="1"/>
      <c r="C212" s="1"/>
      <c r="D212" s="92">
        <v>0.14829999999999999</v>
      </c>
      <c r="E212" s="1" t="s">
        <v>213</v>
      </c>
      <c r="F212" s="106">
        <f t="shared" si="7"/>
        <v>0.14829999999999999</v>
      </c>
      <c r="G212" s="1"/>
      <c r="H212" s="1"/>
      <c r="I212" s="1" t="s">
        <v>213</v>
      </c>
      <c r="J212" s="92">
        <v>0.14829999999999999</v>
      </c>
      <c r="K212" s="150">
        <v>0</v>
      </c>
      <c r="L212" s="38"/>
    </row>
    <row r="213" spans="1:12" x14ac:dyDescent="0.25">
      <c r="A213" s="277"/>
      <c r="B213" s="1"/>
      <c r="C213" s="1"/>
      <c r="D213" s="92">
        <v>0.49434</v>
      </c>
      <c r="E213" s="1" t="s">
        <v>311</v>
      </c>
      <c r="F213" s="106">
        <f t="shared" si="7"/>
        <v>0.49434</v>
      </c>
      <c r="G213" s="1"/>
      <c r="H213" s="1"/>
      <c r="I213" s="1" t="s">
        <v>311</v>
      </c>
      <c r="J213" s="150">
        <v>0.14829999999999999</v>
      </c>
      <c r="K213" s="150">
        <v>0.34604000000000001</v>
      </c>
      <c r="L213" s="38"/>
    </row>
    <row r="214" spans="1:12" ht="30" x14ac:dyDescent="0.25">
      <c r="A214" s="277"/>
      <c r="B214" s="1"/>
      <c r="C214" s="1"/>
      <c r="D214" s="92">
        <v>0.49434</v>
      </c>
      <c r="E214" s="15" t="s">
        <v>312</v>
      </c>
      <c r="F214" s="106">
        <f t="shared" si="7"/>
        <v>0.49434</v>
      </c>
      <c r="G214" s="1"/>
      <c r="H214" s="1"/>
      <c r="I214" s="15" t="s">
        <v>312</v>
      </c>
      <c r="J214" s="92">
        <v>0.49434</v>
      </c>
      <c r="K214" s="150">
        <v>0</v>
      </c>
      <c r="L214" s="38"/>
    </row>
    <row r="215" spans="1:12" x14ac:dyDescent="0.25">
      <c r="A215" s="277"/>
      <c r="B215" s="1"/>
      <c r="C215" s="1"/>
      <c r="D215" s="92">
        <v>1.55535</v>
      </c>
      <c r="E215" s="1" t="s">
        <v>159</v>
      </c>
      <c r="F215" s="106">
        <f t="shared" si="7"/>
        <v>1.55535</v>
      </c>
      <c r="G215" s="1"/>
      <c r="H215" s="1"/>
      <c r="I215" s="1" t="s">
        <v>159</v>
      </c>
      <c r="J215" s="92">
        <v>1.55535</v>
      </c>
      <c r="K215" s="150">
        <v>0</v>
      </c>
      <c r="L215" s="38"/>
    </row>
    <row r="216" spans="1:12" x14ac:dyDescent="0.25">
      <c r="A216" s="277"/>
      <c r="B216" s="1"/>
      <c r="C216" s="1"/>
      <c r="D216" s="92">
        <v>2.8400000000000002E-2</v>
      </c>
      <c r="E216" s="1" t="s">
        <v>61</v>
      </c>
      <c r="F216" s="106">
        <f t="shared" si="7"/>
        <v>2.8400000000000002E-2</v>
      </c>
      <c r="G216" s="1"/>
      <c r="H216" s="1"/>
      <c r="I216" s="1" t="s">
        <v>61</v>
      </c>
      <c r="J216" s="150">
        <v>1.4200000000000001E-2</v>
      </c>
      <c r="K216" s="150">
        <v>1.4200000000000001E-2</v>
      </c>
      <c r="L216" s="38"/>
    </row>
    <row r="217" spans="1:12" x14ac:dyDescent="0.25">
      <c r="A217" s="277"/>
      <c r="B217" s="1"/>
      <c r="C217" s="1"/>
      <c r="D217" s="92">
        <f>4.8716+9.87482</f>
        <v>14.746420000000001</v>
      </c>
      <c r="E217" s="1" t="s">
        <v>160</v>
      </c>
      <c r="F217" s="106">
        <f t="shared" si="7"/>
        <v>14.746420000000001</v>
      </c>
      <c r="G217" s="1"/>
      <c r="H217" s="1"/>
      <c r="I217" s="1" t="s">
        <v>160</v>
      </c>
      <c r="J217" s="92">
        <f>4.8716+8.3936</f>
        <v>13.2652</v>
      </c>
      <c r="K217" s="92">
        <f>1.48122</f>
        <v>1.48122</v>
      </c>
      <c r="L217" s="38"/>
    </row>
    <row r="218" spans="1:12" x14ac:dyDescent="0.25">
      <c r="A218" s="277"/>
      <c r="B218" s="1"/>
      <c r="C218" s="1"/>
      <c r="D218" s="92">
        <f>0.01485+0.01926</f>
        <v>3.4110000000000001E-2</v>
      </c>
      <c r="E218" s="1" t="s">
        <v>62</v>
      </c>
      <c r="F218" s="106">
        <f t="shared" si="7"/>
        <v>3.4110000000000001E-2</v>
      </c>
      <c r="G218" s="1"/>
      <c r="H218" s="1"/>
      <c r="I218" s="1" t="s">
        <v>62</v>
      </c>
      <c r="J218" s="92">
        <v>1.485E-2</v>
      </c>
      <c r="K218" s="150">
        <f>0+0.01926</f>
        <v>1.9259999999999999E-2</v>
      </c>
      <c r="L218" s="38"/>
    </row>
    <row r="219" spans="1:12" x14ac:dyDescent="0.25">
      <c r="A219" s="277"/>
      <c r="B219" s="1"/>
      <c r="C219" s="1"/>
      <c r="D219" s="92">
        <f>1.58535</f>
        <v>1.58535</v>
      </c>
      <c r="E219" s="1" t="s">
        <v>313</v>
      </c>
      <c r="F219" s="106">
        <f t="shared" si="7"/>
        <v>1.58535</v>
      </c>
      <c r="G219" s="1"/>
      <c r="H219" s="1"/>
      <c r="I219" s="1" t="s">
        <v>313</v>
      </c>
      <c r="J219" s="92">
        <v>0</v>
      </c>
      <c r="K219" s="92">
        <f>1.58535</f>
        <v>1.58535</v>
      </c>
      <c r="L219" s="38"/>
    </row>
    <row r="220" spans="1:12" x14ac:dyDescent="0.25">
      <c r="A220" s="277"/>
      <c r="B220" s="1"/>
      <c r="C220" s="1"/>
      <c r="D220" s="92">
        <f>0.34085+0.33143+0.33149+0.33922</f>
        <v>1.3429900000000001</v>
      </c>
      <c r="E220" s="1" t="s">
        <v>63</v>
      </c>
      <c r="F220" s="106">
        <f t="shared" si="7"/>
        <v>1.3429900000000001</v>
      </c>
      <c r="G220" s="1"/>
      <c r="H220" s="1"/>
      <c r="I220" s="1" t="s">
        <v>63</v>
      </c>
      <c r="J220" s="150">
        <f>0.13634+0.33922</f>
        <v>0.47555999999999998</v>
      </c>
      <c r="K220" s="150">
        <f>0.20451+0.33143+0.33149</f>
        <v>0.86742999999999992</v>
      </c>
      <c r="L220" s="38"/>
    </row>
    <row r="221" spans="1:12" x14ac:dyDescent="0.25">
      <c r="A221" s="277"/>
      <c r="B221" s="1"/>
      <c r="C221" s="1"/>
      <c r="D221" s="92">
        <v>0.13134999999999999</v>
      </c>
      <c r="E221" s="1" t="s">
        <v>64</v>
      </c>
      <c r="F221" s="106">
        <f t="shared" si="7"/>
        <v>0.13134999999999999</v>
      </c>
      <c r="G221" s="1"/>
      <c r="H221" s="1"/>
      <c r="I221" s="1" t="s">
        <v>64</v>
      </c>
      <c r="J221" s="150">
        <v>5.2540000000000003E-2</v>
      </c>
      <c r="K221" s="150">
        <v>7.8810000000000005E-2</v>
      </c>
      <c r="L221" s="38"/>
    </row>
    <row r="222" spans="1:12" ht="30" customHeight="1" x14ac:dyDescent="0.25">
      <c r="A222" s="277"/>
      <c r="B222" s="1"/>
      <c r="C222" s="1"/>
      <c r="D222" s="92">
        <v>16.291</v>
      </c>
      <c r="E222" s="15" t="s">
        <v>316</v>
      </c>
      <c r="F222" s="106">
        <f t="shared" si="7"/>
        <v>16.291</v>
      </c>
      <c r="G222" s="1"/>
      <c r="H222" s="1"/>
      <c r="I222" s="15" t="s">
        <v>316</v>
      </c>
      <c r="J222" s="92">
        <v>16.291</v>
      </c>
      <c r="K222" s="150">
        <v>0</v>
      </c>
      <c r="L222" s="38"/>
    </row>
    <row r="223" spans="1:12" x14ac:dyDescent="0.25">
      <c r="A223" s="277"/>
      <c r="B223" s="1"/>
      <c r="C223" s="1"/>
      <c r="D223" s="92">
        <v>0.4425</v>
      </c>
      <c r="E223" s="1" t="s">
        <v>317</v>
      </c>
      <c r="F223" s="106">
        <f t="shared" si="7"/>
        <v>0.4425</v>
      </c>
      <c r="G223" s="1"/>
      <c r="H223" s="1"/>
      <c r="I223" s="1" t="s">
        <v>317</v>
      </c>
      <c r="J223" s="150">
        <v>6.1949999999999998E-2</v>
      </c>
      <c r="K223" s="150">
        <v>0.38055</v>
      </c>
      <c r="L223" s="38"/>
    </row>
    <row r="224" spans="1:12" x14ac:dyDescent="0.25">
      <c r="A224" s="277"/>
      <c r="B224" s="1"/>
      <c r="C224" s="1"/>
      <c r="D224" s="92">
        <v>0.88500000000000001</v>
      </c>
      <c r="E224" s="1" t="s">
        <v>318</v>
      </c>
      <c r="F224" s="106">
        <f t="shared" si="7"/>
        <v>0.88500000000000001</v>
      </c>
      <c r="G224" s="1"/>
      <c r="H224" s="1"/>
      <c r="I224" s="1" t="s">
        <v>318</v>
      </c>
      <c r="J224" s="92">
        <v>0.88500000000000001</v>
      </c>
      <c r="K224" s="150">
        <v>0</v>
      </c>
      <c r="L224" s="38"/>
    </row>
    <row r="225" spans="1:12" x14ac:dyDescent="0.25">
      <c r="A225" s="277"/>
      <c r="B225" s="1"/>
      <c r="C225" s="1"/>
      <c r="D225" s="92">
        <f>1.13075+0.60307+0.6345+0.6346</f>
        <v>3.0029199999999996</v>
      </c>
      <c r="E225" s="1" t="s">
        <v>218</v>
      </c>
      <c r="F225" s="106">
        <f t="shared" si="7"/>
        <v>3.0029199999999996</v>
      </c>
      <c r="G225" s="1"/>
      <c r="H225" s="1"/>
      <c r="I225" s="1" t="s">
        <v>218</v>
      </c>
      <c r="J225" s="92">
        <f>1.13075+0.60307+0.5076</f>
        <v>2.2414199999999997</v>
      </c>
      <c r="K225" s="150">
        <f>0.1269+0.6346</f>
        <v>0.76150000000000007</v>
      </c>
      <c r="L225" s="38"/>
    </row>
    <row r="226" spans="1:12" x14ac:dyDescent="0.25">
      <c r="A226" s="277"/>
      <c r="B226" s="1"/>
      <c r="C226" s="1"/>
      <c r="D226" s="92">
        <v>1.3662000000000001</v>
      </c>
      <c r="E226" s="1" t="s">
        <v>320</v>
      </c>
      <c r="F226" s="106">
        <f t="shared" si="7"/>
        <v>1.3662000000000001</v>
      </c>
      <c r="G226" s="1"/>
      <c r="H226" s="1"/>
      <c r="I226" s="1" t="s">
        <v>320</v>
      </c>
      <c r="J226" s="150">
        <v>0.27323999999999998</v>
      </c>
      <c r="K226" s="150">
        <v>1.0929599999999999</v>
      </c>
      <c r="L226" s="38"/>
    </row>
    <row r="227" spans="1:12" x14ac:dyDescent="0.25">
      <c r="A227" s="277"/>
      <c r="B227" s="1"/>
      <c r="C227" s="1"/>
      <c r="D227" s="92">
        <v>3.2765599999999999</v>
      </c>
      <c r="E227" s="1" t="s">
        <v>322</v>
      </c>
      <c r="F227" s="106">
        <f t="shared" si="7"/>
        <v>3.2765599999999999</v>
      </c>
      <c r="G227" s="1"/>
      <c r="H227" s="1"/>
      <c r="I227" s="1" t="s">
        <v>322</v>
      </c>
      <c r="J227" s="92">
        <v>3.2765599999999999</v>
      </c>
      <c r="K227" s="150">
        <v>0</v>
      </c>
      <c r="L227" s="38"/>
    </row>
    <row r="228" spans="1:12" x14ac:dyDescent="0.25">
      <c r="A228" s="277"/>
      <c r="B228" s="1"/>
      <c r="C228" s="1"/>
      <c r="D228" s="92">
        <v>0.1128</v>
      </c>
      <c r="E228" s="1" t="s">
        <v>323</v>
      </c>
      <c r="F228" s="106">
        <f t="shared" si="7"/>
        <v>0.1128</v>
      </c>
      <c r="G228" s="1"/>
      <c r="H228" s="1"/>
      <c r="I228" s="1" t="s">
        <v>323</v>
      </c>
      <c r="J228" s="150">
        <v>3.3840000000000002E-2</v>
      </c>
      <c r="K228" s="150">
        <v>7.8960000000000002E-2</v>
      </c>
      <c r="L228" s="38"/>
    </row>
    <row r="229" spans="1:12" x14ac:dyDescent="0.25">
      <c r="A229" s="277"/>
      <c r="B229" s="1"/>
      <c r="C229" s="1"/>
      <c r="D229" s="92">
        <f>0.3212+0.1204</f>
        <v>0.44159999999999999</v>
      </c>
      <c r="E229" s="1" t="s">
        <v>324</v>
      </c>
      <c r="F229" s="106">
        <f t="shared" si="7"/>
        <v>0.44159999999999999</v>
      </c>
      <c r="G229" s="1"/>
      <c r="H229" s="1"/>
      <c r="I229" s="1" t="s">
        <v>324</v>
      </c>
      <c r="J229" s="92">
        <f>0.3212+0.1204</f>
        <v>0.44159999999999999</v>
      </c>
      <c r="K229" s="150">
        <v>0</v>
      </c>
      <c r="L229" s="38"/>
    </row>
    <row r="230" spans="1:12" ht="30" x14ac:dyDescent="0.25">
      <c r="A230" s="277"/>
      <c r="B230" s="1"/>
      <c r="C230" s="1"/>
      <c r="D230" s="92">
        <v>0.14595</v>
      </c>
      <c r="E230" s="15" t="s">
        <v>325</v>
      </c>
      <c r="F230" s="106">
        <f t="shared" si="7"/>
        <v>0.14595</v>
      </c>
      <c r="G230" s="1"/>
      <c r="H230" s="1"/>
      <c r="I230" s="15" t="s">
        <v>325</v>
      </c>
      <c r="J230" s="92">
        <v>0.14595</v>
      </c>
      <c r="K230" s="150">
        <v>0</v>
      </c>
      <c r="L230" s="38"/>
    </row>
    <row r="231" spans="1:12" x14ac:dyDescent="0.25">
      <c r="A231" s="277"/>
      <c r="B231" s="1"/>
      <c r="C231" s="1"/>
      <c r="D231" s="92">
        <f>0.84+0.091</f>
        <v>0.93099999999999994</v>
      </c>
      <c r="E231" s="1" t="s">
        <v>70</v>
      </c>
      <c r="F231" s="106">
        <f t="shared" si="7"/>
        <v>0.93099999999999994</v>
      </c>
      <c r="G231" s="1"/>
      <c r="H231" s="1"/>
      <c r="I231" s="1" t="s">
        <v>70</v>
      </c>
      <c r="J231" s="92">
        <v>0.82235999999999998</v>
      </c>
      <c r="K231" s="150">
        <f>0.01764+0.091</f>
        <v>0.10864</v>
      </c>
      <c r="L231" s="38"/>
    </row>
    <row r="232" spans="1:12" ht="30" x14ac:dyDescent="0.25">
      <c r="A232" s="278"/>
      <c r="B232" s="1"/>
      <c r="C232" s="1"/>
      <c r="D232" s="92">
        <v>1.7569999999999999</v>
      </c>
      <c r="E232" s="15" t="s">
        <v>327</v>
      </c>
      <c r="F232" s="105">
        <f t="shared" si="7"/>
        <v>1.7569999999999999</v>
      </c>
      <c r="G232" s="1"/>
      <c r="H232" s="1"/>
      <c r="I232" s="15" t="s">
        <v>327</v>
      </c>
      <c r="J232" s="92">
        <v>0</v>
      </c>
      <c r="K232" s="92">
        <v>1.7569999999999999</v>
      </c>
    </row>
    <row r="233" spans="1:12" x14ac:dyDescent="0.25">
      <c r="A233" s="159"/>
      <c r="B233" s="1"/>
      <c r="C233" s="1"/>
      <c r="D233" s="92">
        <v>0.72467999999999999</v>
      </c>
      <c r="E233" s="15" t="s">
        <v>283</v>
      </c>
      <c r="F233" s="105">
        <f t="shared" si="7"/>
        <v>0.72467999999999999</v>
      </c>
      <c r="G233" s="1"/>
      <c r="H233" s="1"/>
      <c r="I233" s="15" t="s">
        <v>283</v>
      </c>
      <c r="J233" s="92">
        <v>0.72467999999999999</v>
      </c>
      <c r="K233" s="92">
        <v>0</v>
      </c>
    </row>
    <row r="234" spans="1:12" x14ac:dyDescent="0.25">
      <c r="A234" s="159"/>
      <c r="B234" s="1"/>
      <c r="C234" s="1"/>
      <c r="D234" s="92">
        <v>0.64983000000000002</v>
      </c>
      <c r="E234" s="15" t="s">
        <v>330</v>
      </c>
      <c r="F234" s="105">
        <f t="shared" si="7"/>
        <v>0.64983000000000002</v>
      </c>
      <c r="G234" s="1"/>
      <c r="H234" s="1"/>
      <c r="I234" s="15" t="s">
        <v>330</v>
      </c>
      <c r="J234" s="92">
        <v>0.64983000000000002</v>
      </c>
      <c r="K234" s="92">
        <v>0</v>
      </c>
    </row>
    <row r="235" spans="1:12" x14ac:dyDescent="0.25">
      <c r="A235" s="159"/>
      <c r="B235" s="1"/>
      <c r="C235" s="1"/>
      <c r="D235" s="92">
        <f>15.46536</f>
        <v>15.46536</v>
      </c>
      <c r="E235" s="15" t="s">
        <v>77</v>
      </c>
      <c r="F235" s="105">
        <f t="shared" si="7"/>
        <v>15.46536</v>
      </c>
      <c r="G235" s="1"/>
      <c r="H235" s="1"/>
      <c r="I235" s="15" t="s">
        <v>77</v>
      </c>
      <c r="J235" s="92">
        <v>10.532550000000001</v>
      </c>
      <c r="K235" s="92">
        <v>4.9328099999999999</v>
      </c>
    </row>
    <row r="236" spans="1:12" x14ac:dyDescent="0.25">
      <c r="A236" s="159"/>
      <c r="B236" s="1"/>
      <c r="C236" s="1"/>
      <c r="D236" s="92">
        <v>7.0620000000000002E-2</v>
      </c>
      <c r="E236" s="15" t="s">
        <v>78</v>
      </c>
      <c r="F236" s="152">
        <v>7.0620000000000002E-2</v>
      </c>
      <c r="G236" s="1"/>
      <c r="H236" s="1"/>
      <c r="I236" s="15" t="s">
        <v>78</v>
      </c>
      <c r="J236" s="92">
        <v>7.0620000000000002E-2</v>
      </c>
      <c r="K236" s="92">
        <v>0</v>
      </c>
    </row>
    <row r="237" spans="1:12" ht="30" x14ac:dyDescent="0.25">
      <c r="A237" s="159"/>
      <c r="B237" s="1"/>
      <c r="C237" s="1"/>
      <c r="D237" s="92">
        <f>0.28505+0.1399</f>
        <v>0.42495000000000005</v>
      </c>
      <c r="E237" s="15" t="s">
        <v>331</v>
      </c>
      <c r="F237" s="152">
        <f t="shared" ref="F237:F283" si="8">D237</f>
        <v>0.42495000000000005</v>
      </c>
      <c r="G237" s="1"/>
      <c r="H237" s="1"/>
      <c r="I237" s="15" t="s">
        <v>331</v>
      </c>
      <c r="J237" s="92">
        <f>0.18687+0.1399</f>
        <v>0.32677</v>
      </c>
      <c r="K237" s="92">
        <v>9.8000000000000004E-2</v>
      </c>
    </row>
    <row r="238" spans="1:12" ht="30" x14ac:dyDescent="0.25">
      <c r="A238" s="159"/>
      <c r="B238" s="1"/>
      <c r="C238" s="1"/>
      <c r="D238" s="92">
        <v>0.17380000000000001</v>
      </c>
      <c r="E238" s="15" t="s">
        <v>122</v>
      </c>
      <c r="F238" s="152">
        <f t="shared" si="8"/>
        <v>0.17380000000000001</v>
      </c>
      <c r="G238" s="1"/>
      <c r="H238" s="1"/>
      <c r="I238" s="15" t="s">
        <v>122</v>
      </c>
      <c r="J238" s="92">
        <v>0</v>
      </c>
      <c r="K238" s="92">
        <v>0.17380000000000001</v>
      </c>
    </row>
    <row r="239" spans="1:12" x14ac:dyDescent="0.25">
      <c r="A239" s="159"/>
      <c r="B239" s="1"/>
      <c r="C239" s="1"/>
      <c r="D239" s="92">
        <v>1.58189</v>
      </c>
      <c r="E239" s="15" t="s">
        <v>333</v>
      </c>
      <c r="F239" s="152">
        <f t="shared" si="8"/>
        <v>1.58189</v>
      </c>
      <c r="G239" s="1"/>
      <c r="H239" s="1"/>
      <c r="I239" s="15" t="s">
        <v>333</v>
      </c>
      <c r="J239" s="92">
        <v>1.58189</v>
      </c>
      <c r="K239" s="92">
        <v>0</v>
      </c>
    </row>
    <row r="240" spans="1:12" x14ac:dyDescent="0.25">
      <c r="A240" s="159"/>
      <c r="B240" s="1"/>
      <c r="C240" s="1"/>
      <c r="D240" s="92">
        <f>1.58189+2.64825</f>
        <v>4.2301400000000005</v>
      </c>
      <c r="E240" s="15" t="s">
        <v>89</v>
      </c>
      <c r="F240" s="152">
        <f t="shared" si="8"/>
        <v>4.2301400000000005</v>
      </c>
      <c r="G240" s="1"/>
      <c r="H240" s="1"/>
      <c r="I240" s="15" t="s">
        <v>89</v>
      </c>
      <c r="J240" s="92">
        <f>1.58189+2.354</f>
        <v>3.9358900000000001</v>
      </c>
      <c r="K240" s="92">
        <v>0.29399999999999998</v>
      </c>
    </row>
    <row r="241" spans="1:11" ht="30" x14ac:dyDescent="0.25">
      <c r="A241" s="159"/>
      <c r="B241" s="1"/>
      <c r="C241" s="1"/>
      <c r="D241" s="92">
        <v>16.827999999999999</v>
      </c>
      <c r="E241" s="15" t="s">
        <v>336</v>
      </c>
      <c r="F241" s="152">
        <f t="shared" si="8"/>
        <v>16.827999999999999</v>
      </c>
      <c r="G241" s="1"/>
      <c r="H241" s="1"/>
      <c r="I241" s="15" t="s">
        <v>336</v>
      </c>
      <c r="J241" s="92">
        <f>3.3055+3.9065+3.005+3.606+2.404</f>
        <v>16.226999999999997</v>
      </c>
      <c r="K241" s="92">
        <v>0.60099999999999998</v>
      </c>
    </row>
    <row r="242" spans="1:11" x14ac:dyDescent="0.25">
      <c r="A242" s="159"/>
      <c r="B242" s="1"/>
      <c r="C242" s="1"/>
      <c r="D242" s="92">
        <v>2.4762300000000002</v>
      </c>
      <c r="E242" s="15" t="s">
        <v>338</v>
      </c>
      <c r="F242" s="105">
        <f t="shared" si="8"/>
        <v>2.4762300000000002</v>
      </c>
      <c r="G242" s="1"/>
      <c r="H242" s="1"/>
      <c r="I242" s="15" t="s">
        <v>338</v>
      </c>
      <c r="J242" s="92">
        <v>2.4266999999999999</v>
      </c>
      <c r="K242" s="92">
        <v>4.9529999999999998E-2</v>
      </c>
    </row>
    <row r="243" spans="1:11" x14ac:dyDescent="0.25">
      <c r="A243" s="159"/>
      <c r="B243" s="1"/>
      <c r="C243" s="1"/>
      <c r="D243" s="92">
        <v>0.45073000000000002</v>
      </c>
      <c r="E243" s="15" t="s">
        <v>94</v>
      </c>
      <c r="F243" s="105">
        <f t="shared" si="8"/>
        <v>0.45073000000000002</v>
      </c>
      <c r="G243" s="1"/>
      <c r="H243" s="1"/>
      <c r="I243" s="15" t="s">
        <v>94</v>
      </c>
      <c r="J243" s="92">
        <v>0.45073000000000002</v>
      </c>
      <c r="K243" s="92">
        <v>0</v>
      </c>
    </row>
    <row r="244" spans="1:11" x14ac:dyDescent="0.25">
      <c r="A244" s="159"/>
      <c r="B244" s="1"/>
      <c r="C244" s="1"/>
      <c r="D244" s="92">
        <f>4.02973</f>
        <v>4.0297299999999998</v>
      </c>
      <c r="E244" s="15" t="s">
        <v>96</v>
      </c>
      <c r="F244" s="105">
        <f t="shared" si="8"/>
        <v>4.0297299999999998</v>
      </c>
      <c r="G244" s="1"/>
      <c r="H244" s="1"/>
      <c r="I244" s="15" t="s">
        <v>96</v>
      </c>
      <c r="J244" s="92">
        <f>4.02973</f>
        <v>4.0297299999999998</v>
      </c>
      <c r="K244" s="92">
        <v>0</v>
      </c>
    </row>
    <row r="245" spans="1:11" x14ac:dyDescent="0.25">
      <c r="A245" s="159"/>
      <c r="B245" s="1"/>
      <c r="C245" s="1"/>
      <c r="D245" s="92">
        <v>8.8410000000000002E-2</v>
      </c>
      <c r="E245" s="15" t="s">
        <v>191</v>
      </c>
      <c r="F245" s="105">
        <f t="shared" si="8"/>
        <v>8.8410000000000002E-2</v>
      </c>
      <c r="G245" s="1"/>
      <c r="H245" s="1"/>
      <c r="I245" s="15" t="s">
        <v>191</v>
      </c>
      <c r="J245" s="92">
        <v>8.8410000000000002E-2</v>
      </c>
      <c r="K245" s="92">
        <v>0</v>
      </c>
    </row>
    <row r="246" spans="1:11" x14ac:dyDescent="0.25">
      <c r="A246" s="159"/>
      <c r="B246" s="1"/>
      <c r="C246" s="1"/>
      <c r="D246" s="92">
        <v>0.23749999999999999</v>
      </c>
      <c r="E246" s="15" t="s">
        <v>192</v>
      </c>
      <c r="F246" s="105">
        <f t="shared" si="8"/>
        <v>0.23749999999999999</v>
      </c>
      <c r="G246" s="1"/>
      <c r="H246" s="1"/>
      <c r="I246" s="15" t="s">
        <v>192</v>
      </c>
      <c r="J246" s="92">
        <v>0.23749999999999999</v>
      </c>
      <c r="K246" s="92">
        <v>0</v>
      </c>
    </row>
    <row r="247" spans="1:11" x14ac:dyDescent="0.25">
      <c r="A247" s="159"/>
      <c r="B247" s="1"/>
      <c r="C247" s="1"/>
      <c r="D247" s="92">
        <v>3.0257000000000001</v>
      </c>
      <c r="E247" s="15" t="s">
        <v>194</v>
      </c>
      <c r="F247" s="105">
        <f t="shared" si="8"/>
        <v>3.0257000000000001</v>
      </c>
      <c r="G247" s="1"/>
      <c r="H247" s="1"/>
      <c r="I247" s="15" t="s">
        <v>194</v>
      </c>
      <c r="J247" s="92">
        <v>2.5824400000000001</v>
      </c>
      <c r="K247" s="92">
        <f>0.44356</f>
        <v>0.44356000000000001</v>
      </c>
    </row>
    <row r="248" spans="1:11" x14ac:dyDescent="0.25">
      <c r="A248" s="159"/>
      <c r="B248" s="1"/>
      <c r="C248" s="1"/>
      <c r="D248" s="92">
        <v>0.67795000000000005</v>
      </c>
      <c r="E248" s="15" t="s">
        <v>339</v>
      </c>
      <c r="F248" s="41">
        <f t="shared" si="8"/>
        <v>0.67795000000000005</v>
      </c>
      <c r="G248" s="1"/>
      <c r="H248" s="1"/>
      <c r="I248" s="15" t="s">
        <v>339</v>
      </c>
      <c r="J248" s="92">
        <f>0.39548</f>
        <v>0.39548</v>
      </c>
      <c r="K248" s="92">
        <v>0.28247</v>
      </c>
    </row>
    <row r="249" spans="1:11" x14ac:dyDescent="0.25">
      <c r="A249" s="159"/>
      <c r="B249" s="1"/>
      <c r="C249" s="1"/>
      <c r="D249" s="92">
        <f>0.11039+0.88312</f>
        <v>0.99351</v>
      </c>
      <c r="E249" s="15" t="s">
        <v>101</v>
      </c>
      <c r="F249" s="41">
        <f t="shared" si="8"/>
        <v>0.99351</v>
      </c>
      <c r="G249" s="1"/>
      <c r="H249" s="1"/>
      <c r="I249" s="15" t="s">
        <v>101</v>
      </c>
      <c r="J249" s="92">
        <f>0.00552+0.78377</f>
        <v>0.78928999999999994</v>
      </c>
      <c r="K249" s="92">
        <f>0.10487+0.09935</f>
        <v>0.20422000000000001</v>
      </c>
    </row>
    <row r="250" spans="1:11" x14ac:dyDescent="0.25">
      <c r="A250" s="159"/>
      <c r="B250" s="1"/>
      <c r="C250" s="1"/>
      <c r="D250" s="92">
        <v>3.0489999999999999</v>
      </c>
      <c r="E250" s="15" t="s">
        <v>199</v>
      </c>
      <c r="F250" s="41">
        <f t="shared" si="8"/>
        <v>3.0489999999999999</v>
      </c>
      <c r="G250" s="1"/>
      <c r="H250" s="1"/>
      <c r="I250" s="15" t="s">
        <v>199</v>
      </c>
      <c r="J250" s="92">
        <v>2.5</v>
      </c>
      <c r="K250" s="92">
        <v>0.54900000000000004</v>
      </c>
    </row>
    <row r="251" spans="1:11" x14ac:dyDescent="0.25">
      <c r="A251" s="159"/>
      <c r="B251" s="1"/>
      <c r="C251" s="1"/>
      <c r="D251" s="92">
        <f>0.27+0.47</f>
        <v>0.74</v>
      </c>
      <c r="E251" s="15" t="s">
        <v>340</v>
      </c>
      <c r="F251" s="41">
        <f t="shared" si="8"/>
        <v>0.74</v>
      </c>
      <c r="G251" s="1"/>
      <c r="H251" s="1"/>
      <c r="I251" s="15" t="s">
        <v>340</v>
      </c>
      <c r="J251" s="92">
        <f>0.27+0.47</f>
        <v>0.74</v>
      </c>
      <c r="K251" s="92">
        <v>0</v>
      </c>
    </row>
    <row r="252" spans="1:11" x14ac:dyDescent="0.25">
      <c r="A252" s="159"/>
      <c r="B252" s="1"/>
      <c r="C252" s="1"/>
      <c r="D252" s="92">
        <v>1.4239999999999999</v>
      </c>
      <c r="E252" s="15" t="s">
        <v>104</v>
      </c>
      <c r="F252" s="41">
        <f t="shared" si="8"/>
        <v>1.4239999999999999</v>
      </c>
      <c r="G252" s="1"/>
      <c r="H252" s="1"/>
      <c r="I252" s="15" t="s">
        <v>104</v>
      </c>
      <c r="J252" s="92">
        <v>0.95960000000000001</v>
      </c>
      <c r="K252" s="92">
        <v>0.46439999999999998</v>
      </c>
    </row>
    <row r="253" spans="1:11" x14ac:dyDescent="0.25">
      <c r="A253" s="159"/>
      <c r="B253" s="1"/>
      <c r="C253" s="1"/>
      <c r="D253" s="92">
        <v>2.762</v>
      </c>
      <c r="E253" s="15" t="s">
        <v>295</v>
      </c>
      <c r="F253" s="41">
        <f t="shared" si="8"/>
        <v>2.762</v>
      </c>
      <c r="G253" s="1"/>
      <c r="H253" s="1"/>
      <c r="I253" s="15" t="s">
        <v>295</v>
      </c>
      <c r="J253" s="92">
        <v>2.508</v>
      </c>
      <c r="K253" s="92">
        <v>0.254</v>
      </c>
    </row>
    <row r="254" spans="1:11" x14ac:dyDescent="0.25">
      <c r="A254" s="159"/>
      <c r="B254" s="1"/>
      <c r="C254" s="1"/>
      <c r="D254" s="92">
        <v>1.5960000000000001</v>
      </c>
      <c r="E254" s="15" t="s">
        <v>341</v>
      </c>
      <c r="F254" s="41">
        <f t="shared" si="8"/>
        <v>1.5960000000000001</v>
      </c>
      <c r="G254" s="1"/>
      <c r="H254" s="1"/>
      <c r="I254" s="15" t="s">
        <v>341</v>
      </c>
      <c r="J254" s="92">
        <v>1.35792</v>
      </c>
      <c r="K254" s="92">
        <v>0.23808000000000001</v>
      </c>
    </row>
    <row r="255" spans="1:11" x14ac:dyDescent="0.25">
      <c r="A255" s="159"/>
      <c r="B255" s="1"/>
      <c r="C255" s="1"/>
      <c r="D255" s="92">
        <v>0.50700000000000001</v>
      </c>
      <c r="E255" s="15" t="s">
        <v>203</v>
      </c>
      <c r="F255" s="41">
        <f t="shared" si="8"/>
        <v>0.50700000000000001</v>
      </c>
      <c r="G255" s="1"/>
      <c r="H255" s="1"/>
      <c r="I255" s="15" t="s">
        <v>203</v>
      </c>
      <c r="J255" s="92">
        <v>0.11999</v>
      </c>
      <c r="K255" s="92">
        <v>0.38701000000000002</v>
      </c>
    </row>
    <row r="256" spans="1:11" x14ac:dyDescent="0.25">
      <c r="A256" s="159"/>
      <c r="B256" s="1"/>
      <c r="C256" s="1"/>
      <c r="D256" s="92">
        <v>1.89</v>
      </c>
      <c r="E256" s="15" t="s">
        <v>202</v>
      </c>
      <c r="F256" s="41">
        <f t="shared" si="8"/>
        <v>1.89</v>
      </c>
      <c r="G256" s="1"/>
      <c r="H256" s="1"/>
      <c r="I256" s="15" t="s">
        <v>202</v>
      </c>
      <c r="J256" s="92">
        <v>1.4775</v>
      </c>
      <c r="K256" s="92">
        <v>0.41249999999999998</v>
      </c>
    </row>
    <row r="257" spans="1:12" x14ac:dyDescent="0.25">
      <c r="A257" s="159"/>
      <c r="B257" s="1"/>
      <c r="C257" s="1"/>
      <c r="D257" s="92">
        <v>1.19</v>
      </c>
      <c r="E257" s="15" t="s">
        <v>295</v>
      </c>
      <c r="F257" s="41">
        <f t="shared" si="8"/>
        <v>1.19</v>
      </c>
      <c r="G257" s="1"/>
      <c r="H257" s="1"/>
      <c r="I257" s="15" t="s">
        <v>295</v>
      </c>
      <c r="J257" s="92">
        <v>0.68498000000000003</v>
      </c>
      <c r="K257" s="92">
        <v>0.50502000000000002</v>
      </c>
    </row>
    <row r="258" spans="1:12" ht="60" x14ac:dyDescent="0.25">
      <c r="A258" s="159"/>
      <c r="B258" s="1"/>
      <c r="C258" s="1"/>
      <c r="D258" s="92">
        <v>10.66572</v>
      </c>
      <c r="E258" s="15" t="s">
        <v>342</v>
      </c>
      <c r="F258" s="41">
        <f t="shared" si="8"/>
        <v>10.66572</v>
      </c>
      <c r="G258" s="1"/>
      <c r="H258" s="1"/>
      <c r="I258" s="15" t="s">
        <v>342</v>
      </c>
      <c r="J258" s="92">
        <v>10.66572</v>
      </c>
      <c r="K258" s="92">
        <v>0</v>
      </c>
    </row>
    <row r="259" spans="1:12" ht="30" x14ac:dyDescent="0.25">
      <c r="A259" s="159"/>
      <c r="B259" s="1"/>
      <c r="C259" s="1"/>
      <c r="D259" s="92">
        <v>12.0084</v>
      </c>
      <c r="E259" s="15" t="s">
        <v>343</v>
      </c>
      <c r="F259" s="41">
        <f t="shared" si="8"/>
        <v>12.0084</v>
      </c>
      <c r="G259" s="1"/>
      <c r="H259" s="1"/>
      <c r="I259" s="15" t="s">
        <v>343</v>
      </c>
      <c r="J259" s="92">
        <v>12.0084</v>
      </c>
      <c r="K259" s="92">
        <v>0</v>
      </c>
    </row>
    <row r="260" spans="1:12" x14ac:dyDescent="0.25">
      <c r="A260" s="159"/>
      <c r="B260" s="1"/>
      <c r="C260" s="1"/>
      <c r="D260" s="92">
        <v>0.23749999999999999</v>
      </c>
      <c r="E260" s="15" t="s">
        <v>344</v>
      </c>
      <c r="F260" s="41">
        <f t="shared" si="8"/>
        <v>0.23749999999999999</v>
      </c>
      <c r="G260" s="1"/>
      <c r="H260" s="1"/>
      <c r="I260" s="15" t="s">
        <v>344</v>
      </c>
      <c r="J260" s="92">
        <f>0.0475</f>
        <v>4.7500000000000001E-2</v>
      </c>
      <c r="K260" s="92">
        <v>0.19</v>
      </c>
    </row>
    <row r="261" spans="1:12" ht="30" x14ac:dyDescent="0.25">
      <c r="A261" s="159"/>
      <c r="B261" s="1"/>
      <c r="C261" s="1"/>
      <c r="D261" s="92">
        <v>0.49434</v>
      </c>
      <c r="E261" s="15" t="s">
        <v>345</v>
      </c>
      <c r="F261" s="41">
        <f t="shared" si="8"/>
        <v>0.49434</v>
      </c>
      <c r="G261" s="1"/>
      <c r="H261" s="1"/>
      <c r="I261" s="15" t="s">
        <v>345</v>
      </c>
      <c r="J261" s="92">
        <v>0.34604000000000001</v>
      </c>
      <c r="K261" s="92">
        <v>0.14829999999999999</v>
      </c>
    </row>
    <row r="262" spans="1:12" ht="27" customHeight="1" x14ac:dyDescent="0.25">
      <c r="A262" s="159"/>
      <c r="B262" s="1"/>
      <c r="C262" s="1"/>
      <c r="D262" s="161">
        <f>2.756</f>
        <v>2.7559999999999998</v>
      </c>
      <c r="E262" s="162" t="s">
        <v>302</v>
      </c>
      <c r="F262" s="163">
        <f t="shared" si="8"/>
        <v>2.7559999999999998</v>
      </c>
      <c r="G262" s="1"/>
      <c r="H262" s="1"/>
      <c r="I262" s="15" t="s">
        <v>302</v>
      </c>
      <c r="J262" s="92">
        <f>2.756</f>
        <v>2.7559999999999998</v>
      </c>
      <c r="K262" s="150">
        <v>0</v>
      </c>
      <c r="L262" s="38"/>
    </row>
    <row r="263" spans="1:12" x14ac:dyDescent="0.25">
      <c r="A263" s="159"/>
      <c r="B263" s="1"/>
      <c r="C263" s="1"/>
      <c r="D263" s="161">
        <v>0.19900000000000001</v>
      </c>
      <c r="E263" s="160" t="s">
        <v>303</v>
      </c>
      <c r="F263" s="163">
        <f t="shared" si="8"/>
        <v>0.19900000000000001</v>
      </c>
      <c r="G263" s="1"/>
      <c r="H263" s="1"/>
      <c r="I263" s="1" t="s">
        <v>303</v>
      </c>
      <c r="J263" s="92">
        <v>0.19900000000000001</v>
      </c>
      <c r="K263" s="150">
        <v>0</v>
      </c>
      <c r="L263" s="38"/>
    </row>
    <row r="264" spans="1:12" ht="30" x14ac:dyDescent="0.25">
      <c r="A264" s="159"/>
      <c r="B264" s="1"/>
      <c r="C264" s="1"/>
      <c r="D264" s="161">
        <v>10.9</v>
      </c>
      <c r="E264" s="162" t="s">
        <v>304</v>
      </c>
      <c r="F264" s="153">
        <f t="shared" si="8"/>
        <v>10.9</v>
      </c>
      <c r="G264" s="1"/>
      <c r="H264" s="1"/>
      <c r="I264" s="15" t="s">
        <v>304</v>
      </c>
      <c r="J264" s="92">
        <v>10.9</v>
      </c>
      <c r="K264" s="150">
        <v>0</v>
      </c>
      <c r="L264" s="38"/>
    </row>
    <row r="265" spans="1:12" x14ac:dyDescent="0.25">
      <c r="A265" s="159"/>
      <c r="B265" s="1"/>
      <c r="C265" s="1"/>
      <c r="D265" s="161">
        <v>0.70299999999999996</v>
      </c>
      <c r="E265" s="160" t="s">
        <v>305</v>
      </c>
      <c r="F265" s="153">
        <f t="shared" si="8"/>
        <v>0.70299999999999996</v>
      </c>
      <c r="G265" s="1"/>
      <c r="H265" s="1"/>
      <c r="I265" s="1" t="s">
        <v>305</v>
      </c>
      <c r="J265" s="92">
        <v>0.70299999999999996</v>
      </c>
      <c r="K265" s="150">
        <v>0</v>
      </c>
      <c r="L265" s="38"/>
    </row>
    <row r="266" spans="1:12" x14ac:dyDescent="0.25">
      <c r="A266" s="159"/>
      <c r="B266" s="1"/>
      <c r="C266" s="1"/>
      <c r="D266" s="161">
        <v>0.14000000000000001</v>
      </c>
      <c r="E266" s="160" t="s">
        <v>308</v>
      </c>
      <c r="F266" s="153">
        <f t="shared" si="8"/>
        <v>0.14000000000000001</v>
      </c>
      <c r="G266" s="1"/>
      <c r="H266" s="1"/>
      <c r="I266" s="1" t="s">
        <v>308</v>
      </c>
      <c r="J266" s="92">
        <v>0.14000000000000001</v>
      </c>
      <c r="K266" s="150">
        <v>0</v>
      </c>
      <c r="L266" s="38"/>
    </row>
    <row r="267" spans="1:12" x14ac:dyDescent="0.25">
      <c r="A267" s="159"/>
      <c r="B267" s="1"/>
      <c r="C267" s="1"/>
      <c r="D267" s="161">
        <v>0.76800000000000002</v>
      </c>
      <c r="E267" s="160" t="s">
        <v>309</v>
      </c>
      <c r="F267" s="153">
        <f t="shared" si="8"/>
        <v>0.76800000000000002</v>
      </c>
      <c r="G267" s="1"/>
      <c r="H267" s="1"/>
      <c r="I267" s="1" t="s">
        <v>309</v>
      </c>
      <c r="J267" s="92">
        <v>0.76800000000000002</v>
      </c>
      <c r="K267" s="150">
        <v>0</v>
      </c>
      <c r="L267" s="38"/>
    </row>
    <row r="268" spans="1:12" x14ac:dyDescent="0.25">
      <c r="A268" s="159"/>
      <c r="B268" s="1"/>
      <c r="C268" s="1"/>
      <c r="D268" s="161">
        <v>4.37</v>
      </c>
      <c r="E268" s="160" t="s">
        <v>314</v>
      </c>
      <c r="F268" s="153">
        <f t="shared" si="8"/>
        <v>4.37</v>
      </c>
      <c r="G268" s="1"/>
      <c r="H268" s="1"/>
      <c r="I268" s="1" t="s">
        <v>314</v>
      </c>
      <c r="J268" s="92">
        <v>4.37</v>
      </c>
      <c r="K268" s="150">
        <v>0</v>
      </c>
      <c r="L268" s="38"/>
    </row>
    <row r="269" spans="1:12" x14ac:dyDescent="0.25">
      <c r="A269" s="159"/>
      <c r="B269" s="1"/>
      <c r="C269" s="1"/>
      <c r="D269" s="161">
        <v>0.56200000000000006</v>
      </c>
      <c r="E269" s="160" t="s">
        <v>315</v>
      </c>
      <c r="F269" s="153">
        <f t="shared" si="8"/>
        <v>0.56200000000000006</v>
      </c>
      <c r="G269" s="1"/>
      <c r="H269" s="1"/>
      <c r="I269" s="1" t="s">
        <v>315</v>
      </c>
      <c r="J269" s="92">
        <v>0.56200000000000006</v>
      </c>
      <c r="K269" s="150">
        <v>0</v>
      </c>
      <c r="L269" s="38"/>
    </row>
    <row r="270" spans="1:12" ht="30" customHeight="1" x14ac:dyDescent="0.25">
      <c r="A270" s="159"/>
      <c r="B270" s="1"/>
      <c r="C270" s="1"/>
      <c r="D270" s="161">
        <v>16.291</v>
      </c>
      <c r="E270" s="162" t="s">
        <v>316</v>
      </c>
      <c r="F270" s="153">
        <f t="shared" si="8"/>
        <v>16.291</v>
      </c>
      <c r="G270" s="1"/>
      <c r="H270" s="1"/>
      <c r="I270" s="15" t="s">
        <v>316</v>
      </c>
      <c r="J270" s="92">
        <v>16.291</v>
      </c>
      <c r="K270" s="150">
        <v>0</v>
      </c>
      <c r="L270" s="38"/>
    </row>
    <row r="271" spans="1:12" ht="30" x14ac:dyDescent="0.25">
      <c r="A271" s="159"/>
      <c r="B271" s="1"/>
      <c r="C271" s="1"/>
      <c r="D271" s="161">
        <f>1.407</f>
        <v>1.407</v>
      </c>
      <c r="E271" s="162" t="s">
        <v>319</v>
      </c>
      <c r="F271" s="153">
        <f t="shared" si="8"/>
        <v>1.407</v>
      </c>
      <c r="G271" s="1"/>
      <c r="H271" s="1"/>
      <c r="I271" s="15" t="s">
        <v>319</v>
      </c>
      <c r="J271" s="92">
        <f>1.407</f>
        <v>1.407</v>
      </c>
      <c r="K271" s="150">
        <v>0</v>
      </c>
      <c r="L271" s="38"/>
    </row>
    <row r="272" spans="1:12" ht="30" x14ac:dyDescent="0.25">
      <c r="A272" s="159"/>
      <c r="B272" s="1"/>
      <c r="C272" s="1"/>
      <c r="D272" s="161">
        <v>11.445</v>
      </c>
      <c r="E272" s="162" t="s">
        <v>321</v>
      </c>
      <c r="F272" s="153">
        <f t="shared" si="8"/>
        <v>11.445</v>
      </c>
      <c r="G272" s="1"/>
      <c r="H272" s="1"/>
      <c r="I272" s="15" t="s">
        <v>321</v>
      </c>
      <c r="J272" s="92">
        <v>11.445</v>
      </c>
      <c r="K272" s="150">
        <v>0</v>
      </c>
      <c r="L272" s="38"/>
    </row>
    <row r="273" spans="1:12" ht="27.75" customHeight="1" x14ac:dyDescent="0.25">
      <c r="A273" s="159"/>
      <c r="B273" s="1"/>
      <c r="C273" s="1"/>
      <c r="D273" s="161">
        <v>1.0620000000000001</v>
      </c>
      <c r="E273" s="162" t="s">
        <v>326</v>
      </c>
      <c r="F273" s="153">
        <f t="shared" si="8"/>
        <v>1.0620000000000001</v>
      </c>
      <c r="G273" s="1"/>
      <c r="H273" s="1"/>
      <c r="I273" s="15" t="s">
        <v>326</v>
      </c>
      <c r="J273" s="92">
        <v>1.0620000000000001</v>
      </c>
      <c r="K273" s="150">
        <v>0</v>
      </c>
      <c r="L273" s="38"/>
    </row>
    <row r="274" spans="1:12" ht="30" x14ac:dyDescent="0.25">
      <c r="A274" s="159"/>
      <c r="B274" s="1"/>
      <c r="C274" s="1"/>
      <c r="D274" s="161">
        <v>0.3</v>
      </c>
      <c r="E274" s="162" t="s">
        <v>144</v>
      </c>
      <c r="F274" s="153">
        <f t="shared" si="8"/>
        <v>0.3</v>
      </c>
      <c r="G274" s="1"/>
      <c r="H274" s="1"/>
      <c r="I274" s="15" t="s">
        <v>144</v>
      </c>
      <c r="J274" s="92">
        <v>0.3</v>
      </c>
      <c r="K274" s="150">
        <v>0</v>
      </c>
      <c r="L274" s="38"/>
    </row>
    <row r="275" spans="1:12" x14ac:dyDescent="0.25">
      <c r="A275" s="159"/>
      <c r="B275" s="1"/>
      <c r="C275" s="1"/>
      <c r="D275" s="161">
        <v>0.60799999999999998</v>
      </c>
      <c r="E275" s="162" t="s">
        <v>145</v>
      </c>
      <c r="F275" s="164">
        <f t="shared" si="8"/>
        <v>0.60799999999999998</v>
      </c>
      <c r="G275" s="1"/>
      <c r="H275" s="1"/>
      <c r="I275" s="15" t="s">
        <v>145</v>
      </c>
      <c r="J275" s="92">
        <v>0.60799999999999998</v>
      </c>
      <c r="K275" s="92">
        <v>0</v>
      </c>
    </row>
    <row r="276" spans="1:12" ht="30" x14ac:dyDescent="0.25">
      <c r="A276" s="159"/>
      <c r="B276" s="1"/>
      <c r="C276" s="1"/>
      <c r="D276" s="161">
        <f>0.29+0.304</f>
        <v>0.59399999999999997</v>
      </c>
      <c r="E276" s="162" t="s">
        <v>328</v>
      </c>
      <c r="F276" s="164">
        <f t="shared" si="8"/>
        <v>0.59399999999999997</v>
      </c>
      <c r="G276" s="1"/>
      <c r="H276" s="1"/>
      <c r="I276" s="15" t="s">
        <v>328</v>
      </c>
      <c r="J276" s="92">
        <f>0.29+0.304</f>
        <v>0.59399999999999997</v>
      </c>
      <c r="K276" s="92">
        <v>0</v>
      </c>
    </row>
    <row r="277" spans="1:12" ht="30" x14ac:dyDescent="0.25">
      <c r="A277" s="159"/>
      <c r="B277" s="1"/>
      <c r="C277" s="1"/>
      <c r="D277" s="161">
        <v>0.52500000000000002</v>
      </c>
      <c r="E277" s="162" t="s">
        <v>329</v>
      </c>
      <c r="F277" s="164">
        <f t="shared" si="8"/>
        <v>0.52500000000000002</v>
      </c>
      <c r="G277" s="1"/>
      <c r="H277" s="1"/>
      <c r="I277" s="15" t="s">
        <v>329</v>
      </c>
      <c r="J277" s="92">
        <v>0.52500000000000002</v>
      </c>
      <c r="K277" s="92">
        <v>0</v>
      </c>
    </row>
    <row r="278" spans="1:12" x14ac:dyDescent="0.25">
      <c r="A278" s="159"/>
      <c r="B278" s="1"/>
      <c r="C278" s="1"/>
      <c r="D278" s="161">
        <v>0.39800000000000002</v>
      </c>
      <c r="E278" s="162" t="s">
        <v>332</v>
      </c>
      <c r="F278" s="165">
        <f t="shared" si="8"/>
        <v>0.39800000000000002</v>
      </c>
      <c r="G278" s="1"/>
      <c r="H278" s="1"/>
      <c r="I278" s="15" t="s">
        <v>332</v>
      </c>
      <c r="J278" s="92">
        <v>0.39800000000000002</v>
      </c>
      <c r="K278" s="92">
        <v>0</v>
      </c>
    </row>
    <row r="279" spans="1:12" x14ac:dyDescent="0.25">
      <c r="A279" s="159"/>
      <c r="B279" s="1"/>
      <c r="C279" s="1"/>
      <c r="D279" s="161">
        <f>1.066+0.57</f>
        <v>1.6360000000000001</v>
      </c>
      <c r="E279" s="162" t="s">
        <v>334</v>
      </c>
      <c r="F279" s="165">
        <f t="shared" si="8"/>
        <v>1.6360000000000001</v>
      </c>
      <c r="G279" s="1"/>
      <c r="H279" s="1"/>
      <c r="I279" s="15" t="s">
        <v>334</v>
      </c>
      <c r="J279" s="92">
        <f>1.066+0.57</f>
        <v>1.6360000000000001</v>
      </c>
      <c r="K279" s="92">
        <v>0</v>
      </c>
    </row>
    <row r="280" spans="1:12" ht="33.75" customHeight="1" x14ac:dyDescent="0.25">
      <c r="A280" s="159"/>
      <c r="B280" s="1"/>
      <c r="C280" s="1"/>
      <c r="D280" s="161">
        <v>0.14699999999999999</v>
      </c>
      <c r="E280" s="162" t="s">
        <v>335</v>
      </c>
      <c r="F280" s="165">
        <f t="shared" si="8"/>
        <v>0.14699999999999999</v>
      </c>
      <c r="G280" s="1"/>
      <c r="H280" s="1"/>
      <c r="I280" s="15" t="s">
        <v>335</v>
      </c>
      <c r="J280" s="92">
        <v>0.14699999999999999</v>
      </c>
      <c r="K280" s="92">
        <v>0</v>
      </c>
    </row>
    <row r="281" spans="1:12" x14ac:dyDescent="0.25">
      <c r="A281" s="159"/>
      <c r="B281" s="1"/>
      <c r="C281" s="1"/>
      <c r="D281" s="161">
        <v>2.75</v>
      </c>
      <c r="E281" s="162" t="s">
        <v>43</v>
      </c>
      <c r="F281" s="165">
        <f t="shared" si="8"/>
        <v>2.75</v>
      </c>
      <c r="G281" s="1"/>
      <c r="H281" s="1"/>
      <c r="I281" s="15" t="s">
        <v>43</v>
      </c>
      <c r="J281" s="92">
        <v>2.75</v>
      </c>
      <c r="K281" s="92">
        <v>0</v>
      </c>
    </row>
    <row r="282" spans="1:12" ht="30" x14ac:dyDescent="0.25">
      <c r="A282" s="159"/>
      <c r="B282" s="1"/>
      <c r="C282" s="1"/>
      <c r="D282" s="161">
        <v>2.387</v>
      </c>
      <c r="E282" s="162" t="s">
        <v>337</v>
      </c>
      <c r="F282" s="165">
        <f t="shared" si="8"/>
        <v>2.387</v>
      </c>
      <c r="G282" s="1"/>
      <c r="H282" s="1"/>
      <c r="I282" s="15" t="s">
        <v>337</v>
      </c>
      <c r="J282" s="92">
        <v>2.387</v>
      </c>
      <c r="K282" s="92">
        <v>0</v>
      </c>
    </row>
    <row r="283" spans="1:12" x14ac:dyDescent="0.25">
      <c r="A283" s="159"/>
      <c r="B283" s="1"/>
      <c r="C283" s="1"/>
      <c r="D283" s="161">
        <v>0.59799999999999998</v>
      </c>
      <c r="E283" s="162" t="s">
        <v>41</v>
      </c>
      <c r="F283" s="165">
        <f t="shared" si="8"/>
        <v>0.59799999999999998</v>
      </c>
      <c r="G283" s="1"/>
      <c r="H283" s="1"/>
      <c r="I283" s="15" t="s">
        <v>41</v>
      </c>
      <c r="J283" s="92">
        <v>0.59799999999999998</v>
      </c>
      <c r="K283" s="92">
        <v>0</v>
      </c>
    </row>
    <row r="284" spans="1:12" x14ac:dyDescent="0.25">
      <c r="A284" s="159"/>
      <c r="B284" s="1"/>
      <c r="C284" s="1"/>
      <c r="D284" s="92"/>
      <c r="E284" s="15"/>
      <c r="F284" s="41"/>
      <c r="G284" s="1"/>
      <c r="H284" s="1"/>
      <c r="I284" s="15"/>
      <c r="J284" s="92"/>
      <c r="K284" s="92"/>
    </row>
    <row r="285" spans="1:12" x14ac:dyDescent="0.25">
      <c r="A285" s="159"/>
      <c r="B285" s="1"/>
      <c r="C285" s="1"/>
      <c r="D285" s="92"/>
      <c r="E285" s="15"/>
      <c r="F285" s="41"/>
      <c r="G285" s="1"/>
      <c r="H285" s="1"/>
      <c r="I285" s="15"/>
      <c r="J285" s="92"/>
      <c r="K285" s="92"/>
    </row>
    <row r="286" spans="1:12" x14ac:dyDescent="0.25">
      <c r="A286" s="159"/>
      <c r="B286" s="1"/>
      <c r="C286" s="1"/>
      <c r="D286" s="92"/>
      <c r="E286" s="15"/>
      <c r="F286" s="41"/>
      <c r="G286" s="1"/>
      <c r="H286" s="1"/>
      <c r="I286" s="15"/>
      <c r="J286" s="92"/>
      <c r="K286" s="92"/>
    </row>
    <row r="287" spans="1:12" x14ac:dyDescent="0.25">
      <c r="A287" s="159"/>
      <c r="B287" s="1"/>
      <c r="C287" s="1"/>
      <c r="D287" s="92"/>
      <c r="E287" s="15"/>
      <c r="F287" s="41"/>
      <c r="G287" s="1"/>
      <c r="H287" s="1"/>
      <c r="I287" s="15"/>
      <c r="J287" s="92"/>
      <c r="K287" s="92"/>
    </row>
    <row r="288" spans="1:12" x14ac:dyDescent="0.25">
      <c r="A288" s="159"/>
      <c r="B288" s="1"/>
      <c r="C288" s="1"/>
      <c r="D288" s="92"/>
      <c r="E288" s="15"/>
      <c r="F288" s="41"/>
      <c r="G288" s="1"/>
      <c r="H288" s="1"/>
      <c r="I288" s="15"/>
      <c r="J288" s="92"/>
      <c r="K288" s="92"/>
    </row>
    <row r="289" spans="1:11" x14ac:dyDescent="0.25">
      <c r="A289" s="159"/>
      <c r="B289" s="1"/>
      <c r="C289" s="1"/>
      <c r="D289" s="92"/>
      <c r="E289" s="15"/>
      <c r="F289" s="41"/>
      <c r="G289" s="1"/>
      <c r="H289" s="1"/>
      <c r="I289" s="15"/>
      <c r="J289" s="92"/>
      <c r="K289" s="92"/>
    </row>
    <row r="290" spans="1:11" x14ac:dyDescent="0.25">
      <c r="A290" s="159"/>
      <c r="B290" s="1"/>
      <c r="C290" s="1"/>
      <c r="D290" s="92"/>
      <c r="E290" s="15"/>
      <c r="F290" s="41"/>
      <c r="G290" s="1"/>
      <c r="H290" s="1"/>
      <c r="I290" s="15"/>
      <c r="J290" s="92"/>
      <c r="K290" s="92"/>
    </row>
    <row r="291" spans="1:11" x14ac:dyDescent="0.25">
      <c r="A291" s="159"/>
      <c r="B291" s="1"/>
      <c r="C291" s="1"/>
      <c r="D291" s="92"/>
      <c r="E291" s="15"/>
      <c r="F291" s="41"/>
      <c r="G291" s="1"/>
      <c r="H291" s="1"/>
      <c r="I291" s="15"/>
      <c r="J291" s="92"/>
      <c r="K291" s="92"/>
    </row>
    <row r="292" spans="1:11" x14ac:dyDescent="0.25">
      <c r="A292" s="159"/>
      <c r="B292" s="1"/>
      <c r="C292" s="1"/>
      <c r="D292" s="92"/>
      <c r="E292" s="15"/>
      <c r="F292" s="41"/>
      <c r="G292" s="1"/>
      <c r="H292" s="1"/>
      <c r="I292" s="15"/>
      <c r="J292" s="92"/>
      <c r="K292" s="92"/>
    </row>
    <row r="293" spans="1:11" x14ac:dyDescent="0.25">
      <c r="A293" s="159"/>
      <c r="B293" s="1"/>
      <c r="C293" s="1"/>
      <c r="D293" s="92"/>
      <c r="E293" s="15"/>
      <c r="F293" s="41"/>
      <c r="G293" s="1"/>
      <c r="H293" s="1"/>
      <c r="I293" s="15"/>
      <c r="J293" s="92"/>
      <c r="K293" s="92"/>
    </row>
    <row r="294" spans="1:11" x14ac:dyDescent="0.25">
      <c r="A294" s="159"/>
      <c r="B294" s="1"/>
      <c r="C294" s="1"/>
      <c r="D294" s="92"/>
      <c r="E294" s="15"/>
      <c r="F294" s="41"/>
      <c r="G294" s="1"/>
      <c r="H294" s="1"/>
      <c r="I294" s="15"/>
      <c r="J294" s="92"/>
      <c r="K294" s="92"/>
    </row>
    <row r="295" spans="1:11" x14ac:dyDescent="0.25">
      <c r="A295" s="262" t="s">
        <v>15</v>
      </c>
      <c r="B295" s="1"/>
      <c r="C295" s="1"/>
      <c r="D295" s="105"/>
      <c r="E295" s="1"/>
      <c r="F295" s="42">
        <v>0</v>
      </c>
      <c r="G295" s="1"/>
      <c r="H295" s="1"/>
      <c r="I295" s="128"/>
      <c r="J295" s="92"/>
      <c r="K295" s="92"/>
    </row>
    <row r="296" spans="1:11" x14ac:dyDescent="0.25">
      <c r="A296" s="263"/>
      <c r="B296" s="1"/>
      <c r="C296" s="1"/>
      <c r="D296" s="105"/>
      <c r="E296" s="1"/>
      <c r="F296" s="41"/>
      <c r="G296" s="1"/>
      <c r="H296" s="1"/>
      <c r="I296" s="128"/>
      <c r="J296" s="92"/>
      <c r="K296" s="92"/>
    </row>
    <row r="297" spans="1:11" ht="33" customHeight="1" x14ac:dyDescent="0.25">
      <c r="A297" s="4" t="s">
        <v>16</v>
      </c>
      <c r="B297" s="1"/>
      <c r="C297" s="153">
        <f>14.691+C115</f>
        <v>33.356000000000002</v>
      </c>
      <c r="D297" s="106">
        <f>SUM(D13:D113)+SUM(D119:D205)+SUM(D206:D283)</f>
        <v>631.93276000000014</v>
      </c>
      <c r="E297" s="6" t="s">
        <v>17</v>
      </c>
      <c r="F297" s="42">
        <f>C297+D297</f>
        <v>665.28876000000014</v>
      </c>
      <c r="G297" s="6" t="s">
        <v>17</v>
      </c>
      <c r="H297" s="155">
        <f>SUM(H115:H118)</f>
        <v>33.356000000000002</v>
      </c>
      <c r="I297" s="130" t="s">
        <v>17</v>
      </c>
      <c r="J297" s="120">
        <f>SUM(J13:J261)</f>
        <v>485.86217999999997</v>
      </c>
      <c r="K297" s="120">
        <f>SUM(K13:K261)-K114</f>
        <v>85.525210000000044</v>
      </c>
    </row>
    <row r="298" spans="1:11" ht="21.75" customHeight="1" x14ac:dyDescent="0.25">
      <c r="A298" s="70"/>
      <c r="B298" s="64"/>
      <c r="C298" s="71"/>
      <c r="D298" s="107"/>
      <c r="E298" s="73"/>
      <c r="F298" s="74"/>
      <c r="G298" s="73"/>
      <c r="H298" s="75"/>
      <c r="I298" s="131"/>
      <c r="J298" s="132"/>
      <c r="K298" s="132"/>
    </row>
    <row r="299" spans="1:11" x14ac:dyDescent="0.25">
      <c r="F299" s="78"/>
      <c r="G299" s="79"/>
    </row>
    <row r="300" spans="1:11" x14ac:dyDescent="0.25">
      <c r="B300" s="63" t="s">
        <v>298</v>
      </c>
      <c r="C300" s="67"/>
      <c r="D300" s="108"/>
      <c r="E300" s="65"/>
      <c r="F300" s="265" t="s">
        <v>300</v>
      </c>
      <c r="G300" s="265"/>
      <c r="H300" s="8"/>
      <c r="I300" s="112"/>
    </row>
    <row r="301" spans="1:11" x14ac:dyDescent="0.25">
      <c r="B301" s="63" t="s">
        <v>299</v>
      </c>
      <c r="C301" s="67"/>
      <c r="D301" s="109"/>
      <c r="E301" s="67"/>
      <c r="F301" s="158"/>
      <c r="G301" s="81"/>
      <c r="H301" s="8"/>
      <c r="I301" s="112"/>
    </row>
    <row r="302" spans="1:11" x14ac:dyDescent="0.25">
      <c r="B302" s="63"/>
      <c r="C302" s="8"/>
      <c r="D302" s="110"/>
      <c r="E302" s="8"/>
      <c r="F302" s="158"/>
      <c r="G302" s="81"/>
      <c r="H302" s="8"/>
      <c r="I302" s="112"/>
    </row>
    <row r="303" spans="1:11" x14ac:dyDescent="0.25">
      <c r="B303" s="63" t="s">
        <v>301</v>
      </c>
      <c r="C303" s="67"/>
      <c r="D303" s="108"/>
      <c r="E303" s="65"/>
      <c r="F303" s="265" t="s">
        <v>134</v>
      </c>
      <c r="G303" s="265"/>
      <c r="H303" s="8"/>
      <c r="I303" s="112"/>
    </row>
    <row r="304" spans="1:11" x14ac:dyDescent="0.25">
      <c r="B304" s="63"/>
      <c r="C304" s="67"/>
      <c r="D304" s="109"/>
      <c r="E304" s="67"/>
      <c r="F304" s="158"/>
      <c r="G304" s="81"/>
      <c r="H304" s="8"/>
      <c r="I304" s="112"/>
    </row>
    <row r="305" spans="1:11" s="31" customFormat="1" x14ac:dyDescent="0.25">
      <c r="A305"/>
      <c r="B305" s="63"/>
      <c r="C305" s="8"/>
      <c r="D305" s="110"/>
      <c r="E305" s="8"/>
      <c r="F305" s="158"/>
      <c r="G305" s="81"/>
      <c r="H305" s="8"/>
      <c r="I305" s="112"/>
      <c r="J305" s="113"/>
      <c r="K305" s="113"/>
    </row>
    <row r="306" spans="1:11" s="31" customFormat="1" x14ac:dyDescent="0.25">
      <c r="A306"/>
      <c r="B306" s="63" t="s">
        <v>131</v>
      </c>
      <c r="C306" s="65"/>
      <c r="D306" s="108"/>
      <c r="E306" s="65"/>
      <c r="F306" s="265" t="s">
        <v>135</v>
      </c>
      <c r="G306" s="265"/>
      <c r="H306" s="8"/>
      <c r="I306" s="112"/>
      <c r="J306" s="113"/>
      <c r="K306" s="113"/>
    </row>
  </sheetData>
  <mergeCells count="17">
    <mergeCell ref="D5:H5"/>
    <mergeCell ref="B6:J6"/>
    <mergeCell ref="B7:J7"/>
    <mergeCell ref="C8:I8"/>
    <mergeCell ref="A11:A12"/>
    <mergeCell ref="B11:B12"/>
    <mergeCell ref="C11:E11"/>
    <mergeCell ref="F11:F12"/>
    <mergeCell ref="G11:J11"/>
    <mergeCell ref="F303:G303"/>
    <mergeCell ref="F306:G306"/>
    <mergeCell ref="K11:K12"/>
    <mergeCell ref="A13:A114"/>
    <mergeCell ref="A115:A205"/>
    <mergeCell ref="A206:A232"/>
    <mergeCell ref="A295:A296"/>
    <mergeCell ref="F300:G300"/>
  </mergeCells>
  <pageMargins left="0.31496062992125984" right="0.11811023622047245" top="0.15748031496062992" bottom="0.15748031496062992" header="0" footer="0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39"/>
  <sheetViews>
    <sheetView topLeftCell="A419" zoomScaleNormal="100" workbookViewId="0">
      <selection activeCell="H429" activeCellId="1" sqref="J429:K429 H429"/>
    </sheetView>
  </sheetViews>
  <sheetFormatPr defaultRowHeight="15" x14ac:dyDescent="0.25"/>
  <cols>
    <col min="1" max="1" width="9.42578125" customWidth="1"/>
    <col min="2" max="2" width="19.85546875" customWidth="1"/>
    <col min="3" max="3" width="9.42578125" customWidth="1"/>
    <col min="4" max="4" width="14.85546875" style="95" customWidth="1"/>
    <col min="5" max="5" width="25.7109375" customWidth="1"/>
    <col min="6" max="6" width="11.7109375" style="38" customWidth="1"/>
    <col min="7" max="7" width="15" customWidth="1"/>
    <col min="8" max="8" width="10" customWidth="1"/>
    <col min="9" max="9" width="26.140625" style="117" customWidth="1"/>
    <col min="10" max="10" width="9.42578125" style="113" customWidth="1"/>
    <col min="11" max="11" width="17.28515625" style="113" customWidth="1"/>
  </cols>
  <sheetData>
    <row r="1" spans="1:11" x14ac:dyDescent="0.25">
      <c r="I1" s="112" t="s">
        <v>19</v>
      </c>
    </row>
    <row r="2" spans="1:11" x14ac:dyDescent="0.25">
      <c r="I2" s="112" t="s">
        <v>20</v>
      </c>
    </row>
    <row r="3" spans="1:11" x14ac:dyDescent="0.25">
      <c r="I3" s="112" t="s">
        <v>21</v>
      </c>
    </row>
    <row r="5" spans="1:11" ht="18.75" x14ac:dyDescent="0.3">
      <c r="B5" s="10"/>
      <c r="C5" s="10"/>
      <c r="D5" s="257" t="s">
        <v>18</v>
      </c>
      <c r="E5" s="257"/>
      <c r="F5" s="257"/>
      <c r="G5" s="257"/>
      <c r="H5" s="257"/>
      <c r="I5" s="114"/>
      <c r="J5" s="115"/>
    </row>
    <row r="6" spans="1:11" ht="18.75" x14ac:dyDescent="0.3">
      <c r="B6" s="258" t="s">
        <v>49</v>
      </c>
      <c r="C6" s="258"/>
      <c r="D6" s="258"/>
      <c r="E6" s="258"/>
      <c r="F6" s="258"/>
      <c r="G6" s="258"/>
      <c r="H6" s="258"/>
      <c r="I6" s="258"/>
      <c r="J6" s="258"/>
    </row>
    <row r="7" spans="1:11" ht="18.75" x14ac:dyDescent="0.3">
      <c r="B7" s="259" t="s">
        <v>455</v>
      </c>
      <c r="C7" s="259"/>
      <c r="D7" s="259"/>
      <c r="E7" s="259"/>
      <c r="F7" s="259"/>
      <c r="G7" s="259"/>
      <c r="H7" s="259"/>
      <c r="I7" s="259"/>
      <c r="J7" s="259"/>
    </row>
    <row r="8" spans="1:11" x14ac:dyDescent="0.25">
      <c r="B8" s="9"/>
      <c r="C8" s="260" t="s">
        <v>50</v>
      </c>
      <c r="D8" s="260"/>
      <c r="E8" s="260"/>
      <c r="F8" s="261"/>
      <c r="G8" s="261"/>
      <c r="H8" s="261"/>
      <c r="I8" s="261"/>
      <c r="J8" s="116"/>
    </row>
    <row r="9" spans="1:11" x14ac:dyDescent="0.25">
      <c r="D9" s="96"/>
      <c r="E9" s="7"/>
      <c r="F9" s="39"/>
      <c r="G9" s="7"/>
      <c r="H9" s="7"/>
    </row>
    <row r="11" spans="1:11" ht="56.25" customHeight="1" x14ac:dyDescent="0.25">
      <c r="A11" s="264" t="s">
        <v>0</v>
      </c>
      <c r="B11" s="264" t="s">
        <v>1</v>
      </c>
      <c r="C11" s="256" t="s">
        <v>2</v>
      </c>
      <c r="D11" s="256"/>
      <c r="E11" s="256"/>
      <c r="F11" s="254" t="s">
        <v>6</v>
      </c>
      <c r="G11" s="255" t="s">
        <v>7</v>
      </c>
      <c r="H11" s="255"/>
      <c r="I11" s="255"/>
      <c r="J11" s="255"/>
      <c r="K11" s="269" t="s">
        <v>11</v>
      </c>
    </row>
    <row r="12" spans="1:11" ht="90.75" customHeight="1" x14ac:dyDescent="0.25">
      <c r="A12" s="264"/>
      <c r="B12" s="264"/>
      <c r="C12" s="173" t="s">
        <v>3</v>
      </c>
      <c r="D12" s="97" t="s">
        <v>4</v>
      </c>
      <c r="E12" s="12" t="s">
        <v>5</v>
      </c>
      <c r="F12" s="254"/>
      <c r="G12" s="171" t="s">
        <v>8</v>
      </c>
      <c r="H12" s="173" t="s">
        <v>9</v>
      </c>
      <c r="I12" s="118" t="s">
        <v>10</v>
      </c>
      <c r="J12" s="98" t="s">
        <v>9</v>
      </c>
      <c r="K12" s="269"/>
    </row>
    <row r="13" spans="1:11" ht="51" customHeight="1" x14ac:dyDescent="0.3">
      <c r="A13" s="273" t="s">
        <v>13</v>
      </c>
      <c r="B13" s="52" t="s">
        <v>22</v>
      </c>
      <c r="C13" s="44"/>
      <c r="D13" s="98">
        <v>10.39</v>
      </c>
      <c r="E13" s="13" t="s">
        <v>23</v>
      </c>
      <c r="F13" s="40">
        <f>D13</f>
        <v>10.39</v>
      </c>
      <c r="G13" s="45"/>
      <c r="H13" s="45"/>
      <c r="I13" s="119" t="s">
        <v>23</v>
      </c>
      <c r="J13" s="98">
        <v>10.39</v>
      </c>
      <c r="K13" s="120">
        <v>0</v>
      </c>
    </row>
    <row r="14" spans="1:11" x14ac:dyDescent="0.25">
      <c r="A14" s="273"/>
      <c r="B14" s="45"/>
      <c r="C14" s="44"/>
      <c r="D14" s="98">
        <f>0.14+0.14</f>
        <v>0.28000000000000003</v>
      </c>
      <c r="E14" s="13" t="s">
        <v>24</v>
      </c>
      <c r="F14" s="40">
        <f t="shared" ref="F14:F77" si="0">D14</f>
        <v>0.28000000000000003</v>
      </c>
      <c r="G14" s="45"/>
      <c r="H14" s="45"/>
      <c r="I14" s="119" t="s">
        <v>24</v>
      </c>
      <c r="J14" s="101">
        <f>0.14+0.14</f>
        <v>0.28000000000000003</v>
      </c>
      <c r="K14" s="101">
        <v>0</v>
      </c>
    </row>
    <row r="15" spans="1:11" ht="51" customHeight="1" x14ac:dyDescent="0.25">
      <c r="A15" s="274"/>
      <c r="B15" s="45"/>
      <c r="C15" s="44"/>
      <c r="D15" s="98">
        <v>4.3499999999999996</v>
      </c>
      <c r="E15" s="13" t="s">
        <v>117</v>
      </c>
      <c r="F15" s="40">
        <f t="shared" si="0"/>
        <v>4.3499999999999996</v>
      </c>
      <c r="G15" s="45"/>
      <c r="H15" s="45"/>
      <c r="I15" s="119" t="s">
        <v>117</v>
      </c>
      <c r="J15" s="98">
        <v>4.3499999999999996</v>
      </c>
      <c r="K15" s="101">
        <v>0</v>
      </c>
    </row>
    <row r="16" spans="1:11" x14ac:dyDescent="0.25">
      <c r="A16" s="274"/>
      <c r="B16" s="45"/>
      <c r="C16" s="44"/>
      <c r="D16" s="98">
        <v>4.1539999999999999</v>
      </c>
      <c r="E16" s="13" t="s">
        <v>25</v>
      </c>
      <c r="F16" s="40">
        <f t="shared" si="0"/>
        <v>4.1539999999999999</v>
      </c>
      <c r="G16" s="45"/>
      <c r="H16" s="45"/>
      <c r="I16" s="119" t="s">
        <v>25</v>
      </c>
      <c r="J16" s="98">
        <v>4.1539999999999999</v>
      </c>
      <c r="K16" s="101">
        <v>0</v>
      </c>
    </row>
    <row r="17" spans="1:11" ht="30" customHeight="1" x14ac:dyDescent="0.25">
      <c r="A17" s="274"/>
      <c r="B17" s="45"/>
      <c r="C17" s="44"/>
      <c r="D17" s="98">
        <v>10.898999999999999</v>
      </c>
      <c r="E17" s="13" t="s">
        <v>26</v>
      </c>
      <c r="F17" s="40">
        <f t="shared" si="0"/>
        <v>10.898999999999999</v>
      </c>
      <c r="G17" s="45"/>
      <c r="H17" s="45"/>
      <c r="I17" s="119" t="s">
        <v>26</v>
      </c>
      <c r="J17" s="98">
        <v>10.898999999999999</v>
      </c>
      <c r="K17" s="101">
        <v>0</v>
      </c>
    </row>
    <row r="18" spans="1:11" ht="32.25" customHeight="1" x14ac:dyDescent="0.25">
      <c r="A18" s="274"/>
      <c r="B18" s="45"/>
      <c r="C18" s="44"/>
      <c r="D18" s="98">
        <v>0.3</v>
      </c>
      <c r="E18" s="13" t="s">
        <v>115</v>
      </c>
      <c r="F18" s="40">
        <f t="shared" si="0"/>
        <v>0.3</v>
      </c>
      <c r="G18" s="45"/>
      <c r="H18" s="45"/>
      <c r="I18" s="119" t="s">
        <v>116</v>
      </c>
      <c r="J18" s="98">
        <v>0.3</v>
      </c>
      <c r="K18" s="101">
        <v>0</v>
      </c>
    </row>
    <row r="19" spans="1:11" ht="31.5" customHeight="1" x14ac:dyDescent="0.25">
      <c r="A19" s="274"/>
      <c r="B19" s="45"/>
      <c r="C19" s="44"/>
      <c r="D19" s="99">
        <v>0.27</v>
      </c>
      <c r="E19" s="14" t="s">
        <v>27</v>
      </c>
      <c r="F19" s="40">
        <f t="shared" si="0"/>
        <v>0.27</v>
      </c>
      <c r="G19" s="45"/>
      <c r="H19" s="45"/>
      <c r="I19" s="121" t="s">
        <v>27</v>
      </c>
      <c r="J19" s="99">
        <v>0.27</v>
      </c>
      <c r="K19" s="101">
        <v>0</v>
      </c>
    </row>
    <row r="20" spans="1:11" x14ac:dyDescent="0.25">
      <c r="A20" s="274"/>
      <c r="B20" s="45"/>
      <c r="C20" s="44"/>
      <c r="D20" s="98">
        <v>0.63</v>
      </c>
      <c r="E20" s="13" t="s">
        <v>113</v>
      </c>
      <c r="F20" s="40">
        <f t="shared" si="0"/>
        <v>0.63</v>
      </c>
      <c r="G20" s="45"/>
      <c r="H20" s="45"/>
      <c r="I20" s="119" t="s">
        <v>113</v>
      </c>
      <c r="J20" s="98">
        <v>0.63</v>
      </c>
      <c r="K20" s="101">
        <v>0</v>
      </c>
    </row>
    <row r="21" spans="1:11" ht="30" x14ac:dyDescent="0.25">
      <c r="A21" s="274"/>
      <c r="B21" s="45"/>
      <c r="C21" s="44"/>
      <c r="D21" s="98">
        <v>1.1399999999999999</v>
      </c>
      <c r="E21" s="13" t="s">
        <v>28</v>
      </c>
      <c r="F21" s="40">
        <f t="shared" si="0"/>
        <v>1.1399999999999999</v>
      </c>
      <c r="G21" s="45"/>
      <c r="H21" s="45"/>
      <c r="I21" s="119" t="s">
        <v>28</v>
      </c>
      <c r="J21" s="98">
        <v>1.1399999999999999</v>
      </c>
      <c r="K21" s="101">
        <v>0</v>
      </c>
    </row>
    <row r="22" spans="1:11" x14ac:dyDescent="0.25">
      <c r="A22" s="274"/>
      <c r="B22" s="45"/>
      <c r="C22" s="44"/>
      <c r="D22" s="98">
        <v>1.165</v>
      </c>
      <c r="E22" s="13" t="s">
        <v>29</v>
      </c>
      <c r="F22" s="40">
        <f t="shared" si="0"/>
        <v>1.165</v>
      </c>
      <c r="G22" s="45"/>
      <c r="H22" s="45"/>
      <c r="I22" s="119" t="s">
        <v>29</v>
      </c>
      <c r="J22" s="98">
        <v>1.165</v>
      </c>
      <c r="K22" s="101">
        <v>0</v>
      </c>
    </row>
    <row r="23" spans="1:11" x14ac:dyDescent="0.25">
      <c r="A23" s="274"/>
      <c r="B23" s="45"/>
      <c r="C23" s="44"/>
      <c r="D23" s="98">
        <v>2.4540000000000002</v>
      </c>
      <c r="E23" s="13" t="s">
        <v>30</v>
      </c>
      <c r="F23" s="40">
        <f t="shared" si="0"/>
        <v>2.4540000000000002</v>
      </c>
      <c r="G23" s="45"/>
      <c r="H23" s="45"/>
      <c r="I23" s="119" t="s">
        <v>30</v>
      </c>
      <c r="J23" s="98">
        <v>2.4540000000000002</v>
      </c>
      <c r="K23" s="101">
        <v>0</v>
      </c>
    </row>
    <row r="24" spans="1:11" x14ac:dyDescent="0.25">
      <c r="A24" s="274"/>
      <c r="B24" s="45"/>
      <c r="C24" s="45"/>
      <c r="D24" s="100">
        <v>0.19</v>
      </c>
      <c r="E24" s="48" t="s">
        <v>31</v>
      </c>
      <c r="F24" s="40">
        <f t="shared" si="0"/>
        <v>0.19</v>
      </c>
      <c r="G24" s="45"/>
      <c r="H24" s="45"/>
      <c r="I24" s="122" t="s">
        <v>31</v>
      </c>
      <c r="J24" s="100">
        <v>0.19</v>
      </c>
      <c r="K24" s="101">
        <v>0</v>
      </c>
    </row>
    <row r="25" spans="1:11" x14ac:dyDescent="0.25">
      <c r="A25" s="274"/>
      <c r="B25" s="45"/>
      <c r="C25" s="45"/>
      <c r="D25" s="101">
        <v>0.19</v>
      </c>
      <c r="E25" s="45" t="s">
        <v>32</v>
      </c>
      <c r="F25" s="40">
        <f t="shared" si="0"/>
        <v>0.19</v>
      </c>
      <c r="G25" s="45"/>
      <c r="H25" s="45"/>
      <c r="I25" s="123" t="s">
        <v>32</v>
      </c>
      <c r="J25" s="101">
        <v>0.19</v>
      </c>
      <c r="K25" s="101">
        <v>0</v>
      </c>
    </row>
    <row r="26" spans="1:11" ht="36" customHeight="1" x14ac:dyDescent="0.3">
      <c r="A26" s="274"/>
      <c r="B26" s="52" t="s">
        <v>33</v>
      </c>
      <c r="C26" s="45"/>
      <c r="D26" s="101">
        <v>2.2000000000000002</v>
      </c>
      <c r="E26" s="53" t="s">
        <v>34</v>
      </c>
      <c r="F26" s="40">
        <f t="shared" si="0"/>
        <v>2.2000000000000002</v>
      </c>
      <c r="G26" s="45"/>
      <c r="H26" s="53"/>
      <c r="I26" s="124" t="s">
        <v>34</v>
      </c>
      <c r="J26" s="101">
        <v>2.2000000000000002</v>
      </c>
      <c r="K26" s="101">
        <v>0</v>
      </c>
    </row>
    <row r="27" spans="1:11" ht="29.25" customHeight="1" x14ac:dyDescent="0.25">
      <c r="A27" s="274"/>
      <c r="B27" s="45"/>
      <c r="C27" s="45"/>
      <c r="D27" s="101">
        <v>2</v>
      </c>
      <c r="E27" s="53" t="s">
        <v>34</v>
      </c>
      <c r="F27" s="40">
        <f t="shared" si="0"/>
        <v>2</v>
      </c>
      <c r="G27" s="45"/>
      <c r="H27" s="45"/>
      <c r="I27" s="124" t="s">
        <v>34</v>
      </c>
      <c r="J27" s="101">
        <v>2</v>
      </c>
      <c r="K27" s="101">
        <v>0</v>
      </c>
    </row>
    <row r="28" spans="1:11" ht="46.5" customHeight="1" x14ac:dyDescent="0.25">
      <c r="A28" s="274"/>
      <c r="B28" s="45"/>
      <c r="C28" s="45"/>
      <c r="D28" s="101">
        <v>0.69499999999999995</v>
      </c>
      <c r="E28" s="55" t="s">
        <v>118</v>
      </c>
      <c r="F28" s="40">
        <f t="shared" si="0"/>
        <v>0.69499999999999995</v>
      </c>
      <c r="G28" s="45"/>
      <c r="H28" s="45"/>
      <c r="I28" s="125" t="s">
        <v>118</v>
      </c>
      <c r="J28" s="101">
        <v>0.69499999999999995</v>
      </c>
      <c r="K28" s="101">
        <v>0</v>
      </c>
    </row>
    <row r="29" spans="1:11" ht="30.75" customHeight="1" x14ac:dyDescent="0.25">
      <c r="A29" s="274"/>
      <c r="B29" s="45"/>
      <c r="C29" s="45"/>
      <c r="D29" s="101">
        <f>0.3+0.3</f>
        <v>0.6</v>
      </c>
      <c r="E29" s="55" t="s">
        <v>119</v>
      </c>
      <c r="F29" s="40">
        <f t="shared" si="0"/>
        <v>0.6</v>
      </c>
      <c r="G29" s="45"/>
      <c r="H29" s="45"/>
      <c r="I29" s="125" t="s">
        <v>35</v>
      </c>
      <c r="J29" s="101">
        <f>0.3+0.3</f>
        <v>0.6</v>
      </c>
      <c r="K29" s="101">
        <v>0</v>
      </c>
    </row>
    <row r="30" spans="1:11" x14ac:dyDescent="0.25">
      <c r="A30" s="274"/>
      <c r="B30" s="45"/>
      <c r="C30" s="45"/>
      <c r="D30" s="101">
        <f>0.14+0.14</f>
        <v>0.28000000000000003</v>
      </c>
      <c r="E30" s="45" t="s">
        <v>24</v>
      </c>
      <c r="F30" s="40">
        <f t="shared" si="0"/>
        <v>0.28000000000000003</v>
      </c>
      <c r="G30" s="45"/>
      <c r="H30" s="45"/>
      <c r="I30" s="123" t="s">
        <v>24</v>
      </c>
      <c r="J30" s="101">
        <f>0.14+0.14</f>
        <v>0.28000000000000003</v>
      </c>
      <c r="K30" s="101">
        <v>0</v>
      </c>
    </row>
    <row r="31" spans="1:11" x14ac:dyDescent="0.25">
      <c r="A31" s="274"/>
      <c r="B31" s="45"/>
      <c r="C31" s="45"/>
      <c r="D31" s="101">
        <f>1.462</f>
        <v>1.462</v>
      </c>
      <c r="E31" s="45" t="s">
        <v>36</v>
      </c>
      <c r="F31" s="40">
        <f t="shared" si="0"/>
        <v>1.462</v>
      </c>
      <c r="G31" s="45"/>
      <c r="H31" s="45"/>
      <c r="I31" s="123" t="s">
        <v>36</v>
      </c>
      <c r="J31" s="101">
        <f>1.462</f>
        <v>1.462</v>
      </c>
      <c r="K31" s="101">
        <v>0</v>
      </c>
    </row>
    <row r="32" spans="1:11" ht="15.75" customHeight="1" x14ac:dyDescent="0.25">
      <c r="A32" s="274"/>
      <c r="B32" s="45"/>
      <c r="C32" s="45"/>
      <c r="D32" s="101">
        <f>4.154*2</f>
        <v>8.3079999999999998</v>
      </c>
      <c r="E32" s="55" t="s">
        <v>37</v>
      </c>
      <c r="F32" s="40">
        <f t="shared" si="0"/>
        <v>8.3079999999999998</v>
      </c>
      <c r="G32" s="45"/>
      <c r="H32" s="45"/>
      <c r="I32" s="125" t="s">
        <v>37</v>
      </c>
      <c r="J32" s="101">
        <f>4.154*2</f>
        <v>8.3079999999999998</v>
      </c>
      <c r="K32" s="101">
        <v>0</v>
      </c>
    </row>
    <row r="33" spans="1:11" ht="55.5" customHeight="1" x14ac:dyDescent="0.25">
      <c r="A33" s="274"/>
      <c r="B33" s="45"/>
      <c r="C33" s="45"/>
      <c r="D33" s="101">
        <f>20.78</f>
        <v>20.78</v>
      </c>
      <c r="E33" s="13" t="s">
        <v>23</v>
      </c>
      <c r="F33" s="40">
        <f t="shared" si="0"/>
        <v>20.78</v>
      </c>
      <c r="G33" s="45"/>
      <c r="H33" s="45"/>
      <c r="I33" s="119" t="s">
        <v>23</v>
      </c>
      <c r="J33" s="101">
        <f>20.78</f>
        <v>20.78</v>
      </c>
      <c r="K33" s="101">
        <v>0</v>
      </c>
    </row>
    <row r="34" spans="1:11" ht="32.25" customHeight="1" x14ac:dyDescent="0.25">
      <c r="A34" s="274"/>
      <c r="B34" s="45"/>
      <c r="C34" s="45"/>
      <c r="D34" s="101">
        <v>0.6</v>
      </c>
      <c r="E34" s="13" t="s">
        <v>38</v>
      </c>
      <c r="F34" s="40">
        <f t="shared" si="0"/>
        <v>0.6</v>
      </c>
      <c r="G34" s="45"/>
      <c r="H34" s="45"/>
      <c r="I34" s="119" t="s">
        <v>38</v>
      </c>
      <c r="J34" s="101">
        <v>0.6</v>
      </c>
      <c r="K34" s="101">
        <v>0</v>
      </c>
    </row>
    <row r="35" spans="1:11" ht="13.5" customHeight="1" x14ac:dyDescent="0.25">
      <c r="A35" s="274"/>
      <c r="B35" s="45"/>
      <c r="C35" s="45"/>
      <c r="D35" s="101">
        <v>0.25</v>
      </c>
      <c r="E35" s="13" t="s">
        <v>39</v>
      </c>
      <c r="F35" s="40">
        <f t="shared" si="0"/>
        <v>0.25</v>
      </c>
      <c r="G35" s="45"/>
      <c r="H35" s="45"/>
      <c r="I35" s="119" t="s">
        <v>39</v>
      </c>
      <c r="J35" s="101">
        <v>0.25</v>
      </c>
      <c r="K35" s="101">
        <v>0</v>
      </c>
    </row>
    <row r="36" spans="1:11" ht="35.25" customHeight="1" x14ac:dyDescent="0.25">
      <c r="A36" s="274"/>
      <c r="B36" s="45"/>
      <c r="C36" s="45"/>
      <c r="D36" s="101">
        <f>0.285+0.27</f>
        <v>0.55499999999999994</v>
      </c>
      <c r="E36" s="13" t="s">
        <v>40</v>
      </c>
      <c r="F36" s="40">
        <f t="shared" si="0"/>
        <v>0.55499999999999994</v>
      </c>
      <c r="G36" s="45"/>
      <c r="H36" s="45"/>
      <c r="I36" s="119" t="s">
        <v>40</v>
      </c>
      <c r="J36" s="101">
        <f>0.285+0.27</f>
        <v>0.55499999999999994</v>
      </c>
      <c r="K36" s="101">
        <v>0</v>
      </c>
    </row>
    <row r="37" spans="1:11" ht="35.25" customHeight="1" x14ac:dyDescent="0.25">
      <c r="A37" s="274"/>
      <c r="B37" s="45"/>
      <c r="C37" s="45"/>
      <c r="D37" s="101">
        <f>0.27+0.285</f>
        <v>0.55499999999999994</v>
      </c>
      <c r="E37" s="14" t="s">
        <v>27</v>
      </c>
      <c r="F37" s="40">
        <f t="shared" si="0"/>
        <v>0.55499999999999994</v>
      </c>
      <c r="G37" s="45"/>
      <c r="H37" s="45"/>
      <c r="I37" s="121" t="s">
        <v>27</v>
      </c>
      <c r="J37" s="101">
        <f>0.27+0.285</f>
        <v>0.55499999999999994</v>
      </c>
      <c r="K37" s="101">
        <v>0</v>
      </c>
    </row>
    <row r="38" spans="1:11" x14ac:dyDescent="0.25">
      <c r="A38" s="274"/>
      <c r="B38" s="45"/>
      <c r="C38" s="45"/>
      <c r="D38" s="101">
        <v>1.1359999999999999</v>
      </c>
      <c r="E38" s="13" t="s">
        <v>41</v>
      </c>
      <c r="F38" s="40">
        <f t="shared" si="0"/>
        <v>1.1359999999999999</v>
      </c>
      <c r="G38" s="45"/>
      <c r="H38" s="45"/>
      <c r="I38" s="119" t="s">
        <v>41</v>
      </c>
      <c r="J38" s="101">
        <v>1.1359999999999999</v>
      </c>
      <c r="K38" s="101">
        <v>0</v>
      </c>
    </row>
    <row r="39" spans="1:11" ht="33" customHeight="1" x14ac:dyDescent="0.25">
      <c r="A39" s="274"/>
      <c r="B39" s="45"/>
      <c r="C39" s="45"/>
      <c r="D39" s="101">
        <v>1.28</v>
      </c>
      <c r="E39" s="13" t="s">
        <v>42</v>
      </c>
      <c r="F39" s="40">
        <f t="shared" si="0"/>
        <v>1.28</v>
      </c>
      <c r="G39" s="45"/>
      <c r="H39" s="45"/>
      <c r="I39" s="119" t="s">
        <v>42</v>
      </c>
      <c r="J39" s="101">
        <v>1.28</v>
      </c>
      <c r="K39" s="101">
        <v>0</v>
      </c>
    </row>
    <row r="40" spans="1:11" ht="31.5" customHeight="1" x14ac:dyDescent="0.25">
      <c r="A40" s="274"/>
      <c r="B40" s="45"/>
      <c r="C40" s="45"/>
      <c r="D40" s="101">
        <v>1.1399999999999999</v>
      </c>
      <c r="E40" s="13" t="s">
        <v>28</v>
      </c>
      <c r="F40" s="40">
        <f t="shared" si="0"/>
        <v>1.1399999999999999</v>
      </c>
      <c r="G40" s="45"/>
      <c r="H40" s="45"/>
      <c r="I40" s="119" t="s">
        <v>28</v>
      </c>
      <c r="J40" s="101">
        <v>1.1399999999999999</v>
      </c>
      <c r="K40" s="101">
        <v>0</v>
      </c>
    </row>
    <row r="41" spans="1:11" ht="21" customHeight="1" x14ac:dyDescent="0.25">
      <c r="A41" s="274"/>
      <c r="B41" s="45"/>
      <c r="C41" s="45"/>
      <c r="D41" s="101">
        <v>2.75</v>
      </c>
      <c r="E41" s="13" t="s">
        <v>43</v>
      </c>
      <c r="F41" s="40">
        <f t="shared" si="0"/>
        <v>2.75</v>
      </c>
      <c r="G41" s="45"/>
      <c r="H41" s="45"/>
      <c r="I41" s="119" t="s">
        <v>43</v>
      </c>
      <c r="J41" s="101">
        <v>2.75</v>
      </c>
      <c r="K41" s="101">
        <v>0</v>
      </c>
    </row>
    <row r="42" spans="1:11" ht="29.25" customHeight="1" x14ac:dyDescent="0.25">
      <c r="A42" s="274"/>
      <c r="B42" s="45"/>
      <c r="C42" s="45"/>
      <c r="D42" s="101">
        <v>2.33</v>
      </c>
      <c r="E42" s="55" t="s">
        <v>44</v>
      </c>
      <c r="F42" s="40">
        <f t="shared" si="0"/>
        <v>2.33</v>
      </c>
      <c r="G42" s="45"/>
      <c r="H42" s="45"/>
      <c r="I42" s="125" t="s">
        <v>44</v>
      </c>
      <c r="J42" s="101">
        <v>2.33</v>
      </c>
      <c r="K42" s="101">
        <v>0</v>
      </c>
    </row>
    <row r="43" spans="1:11" ht="54" customHeight="1" x14ac:dyDescent="0.3">
      <c r="A43" s="274"/>
      <c r="B43" s="52" t="s">
        <v>45</v>
      </c>
      <c r="C43" s="45"/>
      <c r="D43" s="102">
        <v>26.299499999999998</v>
      </c>
      <c r="E43" s="55" t="s">
        <v>46</v>
      </c>
      <c r="F43" s="43">
        <f t="shared" si="0"/>
        <v>26.299499999999998</v>
      </c>
      <c r="G43" s="45"/>
      <c r="H43" s="45"/>
      <c r="I43" s="125" t="s">
        <v>46</v>
      </c>
      <c r="J43" s="102">
        <v>26.299499999999998</v>
      </c>
      <c r="K43" s="126">
        <v>0</v>
      </c>
    </row>
    <row r="44" spans="1:11" ht="75" x14ac:dyDescent="0.3">
      <c r="A44" s="274"/>
      <c r="B44" s="52" t="s">
        <v>47</v>
      </c>
      <c r="C44" s="45"/>
      <c r="D44" s="101">
        <f>3.00392+2.83785+2.88258</f>
        <v>8.7243500000000012</v>
      </c>
      <c r="E44" s="55" t="s">
        <v>51</v>
      </c>
      <c r="F44" s="40">
        <f t="shared" si="0"/>
        <v>8.7243500000000012</v>
      </c>
      <c r="G44" s="45"/>
      <c r="H44" s="58"/>
      <c r="I44" s="125" t="s">
        <v>51</v>
      </c>
      <c r="J44" s="101">
        <f>3.00392+2.59432</f>
        <v>5.5982400000000005</v>
      </c>
      <c r="K44" s="101">
        <f>2.83785+0.28826</f>
        <v>3.1261100000000002</v>
      </c>
    </row>
    <row r="45" spans="1:11" x14ac:dyDescent="0.25">
      <c r="A45" s="274"/>
      <c r="B45" s="55"/>
      <c r="C45" s="45"/>
      <c r="D45" s="101">
        <v>2.4099999999999998E-3</v>
      </c>
      <c r="E45" s="55" t="s">
        <v>52</v>
      </c>
      <c r="F45" s="40">
        <f t="shared" si="0"/>
        <v>2.4099999999999998E-3</v>
      </c>
      <c r="G45" s="45"/>
      <c r="H45" s="58"/>
      <c r="I45" s="125" t="s">
        <v>52</v>
      </c>
      <c r="J45" s="101">
        <v>0</v>
      </c>
      <c r="K45" s="101">
        <v>2.4099999999999998E-3</v>
      </c>
    </row>
    <row r="46" spans="1:11" x14ac:dyDescent="0.25">
      <c r="A46" s="274"/>
      <c r="B46" s="55"/>
      <c r="C46" s="45"/>
      <c r="D46" s="101">
        <v>3.739E-2</v>
      </c>
      <c r="E46" s="55" t="s">
        <v>53</v>
      </c>
      <c r="F46" s="40">
        <f t="shared" si="0"/>
        <v>3.739E-2</v>
      </c>
      <c r="G46" s="45"/>
      <c r="H46" s="58"/>
      <c r="I46" s="125" t="s">
        <v>53</v>
      </c>
      <c r="J46" s="101">
        <f>0.03552</f>
        <v>3.5520000000000003E-2</v>
      </c>
      <c r="K46" s="101">
        <f>0.00187</f>
        <v>1.8699999999999999E-3</v>
      </c>
    </row>
    <row r="47" spans="1:11" ht="17.25" customHeight="1" x14ac:dyDescent="0.25">
      <c r="A47" s="274"/>
      <c r="B47" s="55"/>
      <c r="C47" s="45"/>
      <c r="D47" s="103">
        <v>1.917E-2</v>
      </c>
      <c r="E47" s="55" t="s">
        <v>107</v>
      </c>
      <c r="F47" s="40">
        <f t="shared" si="0"/>
        <v>1.917E-2</v>
      </c>
      <c r="G47" s="45"/>
      <c r="H47" s="58"/>
      <c r="I47" s="125" t="s">
        <v>107</v>
      </c>
      <c r="J47" s="103">
        <v>1.917E-2</v>
      </c>
      <c r="K47" s="101">
        <v>0</v>
      </c>
    </row>
    <row r="48" spans="1:11" ht="15.75" x14ac:dyDescent="0.25">
      <c r="A48" s="274"/>
      <c r="B48" s="55"/>
      <c r="C48" s="45"/>
      <c r="D48" s="103">
        <v>5.1700000000000003E-2</v>
      </c>
      <c r="E48" s="55" t="s">
        <v>54</v>
      </c>
      <c r="F48" s="40">
        <f t="shared" si="0"/>
        <v>5.1700000000000003E-2</v>
      </c>
      <c r="G48" s="45"/>
      <c r="H48" s="58"/>
      <c r="I48" s="125" t="s">
        <v>54</v>
      </c>
      <c r="J48" s="103">
        <v>5.1700000000000003E-2</v>
      </c>
      <c r="K48" s="101">
        <v>0</v>
      </c>
    </row>
    <row r="49" spans="1:11" ht="17.25" customHeight="1" x14ac:dyDescent="0.25">
      <c r="A49" s="274"/>
      <c r="B49" s="55"/>
      <c r="C49" s="45"/>
      <c r="D49" s="103">
        <f>0.24516+0.26711+0.24289</f>
        <v>0.75516000000000005</v>
      </c>
      <c r="E49" s="55" t="s">
        <v>55</v>
      </c>
      <c r="F49" s="40">
        <f t="shared" si="0"/>
        <v>0.75516000000000005</v>
      </c>
      <c r="G49" s="45"/>
      <c r="H49" s="58"/>
      <c r="I49" s="125" t="s">
        <v>55</v>
      </c>
      <c r="J49" s="101">
        <f>0.24516+0.26711+0.12145</f>
        <v>0.63372000000000006</v>
      </c>
      <c r="K49" s="101">
        <f>0.12144</f>
        <v>0.12144000000000001</v>
      </c>
    </row>
    <row r="50" spans="1:11" ht="15.75" x14ac:dyDescent="0.25">
      <c r="A50" s="274"/>
      <c r="B50" s="55"/>
      <c r="C50" s="45"/>
      <c r="D50" s="103">
        <f>0.8294</f>
        <v>0.82940000000000003</v>
      </c>
      <c r="E50" s="55" t="s">
        <v>56</v>
      </c>
      <c r="F50" s="40">
        <f t="shared" si="0"/>
        <v>0.82940000000000003</v>
      </c>
      <c r="G50" s="45"/>
      <c r="H50" s="58"/>
      <c r="I50" s="125" t="s">
        <v>56</v>
      </c>
      <c r="J50" s="101">
        <f>0.26158</f>
        <v>0.26157999999999998</v>
      </c>
      <c r="K50" s="101">
        <f>0.56782</f>
        <v>0.56781999999999999</v>
      </c>
    </row>
    <row r="51" spans="1:11" ht="17.25" customHeight="1" x14ac:dyDescent="0.25">
      <c r="A51" s="274"/>
      <c r="B51" s="55"/>
      <c r="C51" s="45"/>
      <c r="D51" s="103">
        <f>0.68266+0.62616+1.87853</f>
        <v>3.1873500000000003</v>
      </c>
      <c r="E51" s="55" t="s">
        <v>57</v>
      </c>
      <c r="F51" s="40">
        <f t="shared" si="0"/>
        <v>3.1873500000000003</v>
      </c>
      <c r="G51" s="45"/>
      <c r="H51" s="58"/>
      <c r="I51" s="125" t="s">
        <v>57</v>
      </c>
      <c r="J51" s="101">
        <f>0.68266+0.62616+0.06262</f>
        <v>1.37144</v>
      </c>
      <c r="K51" s="101">
        <v>1.8159099999999999</v>
      </c>
    </row>
    <row r="52" spans="1:11" ht="15.75" x14ac:dyDescent="0.25">
      <c r="A52" s="274"/>
      <c r="B52" s="55"/>
      <c r="C52" s="45"/>
      <c r="D52" s="103">
        <v>0.51400000000000001</v>
      </c>
      <c r="E52" s="55" t="s">
        <v>108</v>
      </c>
      <c r="F52" s="40">
        <f t="shared" si="0"/>
        <v>0.51400000000000001</v>
      </c>
      <c r="G52" s="45"/>
      <c r="H52" s="58"/>
      <c r="I52" s="125" t="s">
        <v>108</v>
      </c>
      <c r="J52" s="101">
        <f>0.257</f>
        <v>0.25700000000000001</v>
      </c>
      <c r="K52" s="101">
        <f>0.257</f>
        <v>0.25700000000000001</v>
      </c>
    </row>
    <row r="53" spans="1:11" ht="13.5" customHeight="1" x14ac:dyDescent="0.25">
      <c r="A53" s="274"/>
      <c r="B53" s="55"/>
      <c r="C53" s="45"/>
      <c r="D53" s="103">
        <v>1.3168500000000001</v>
      </c>
      <c r="E53" s="55" t="s">
        <v>58</v>
      </c>
      <c r="F53" s="40">
        <f t="shared" si="0"/>
        <v>1.3168500000000001</v>
      </c>
      <c r="G53" s="45"/>
      <c r="H53" s="58"/>
      <c r="I53" s="125" t="s">
        <v>58</v>
      </c>
      <c r="J53" s="101">
        <v>0</v>
      </c>
      <c r="K53" s="103">
        <v>1.3168500000000001</v>
      </c>
    </row>
    <row r="54" spans="1:11" ht="16.5" customHeight="1" x14ac:dyDescent="0.25">
      <c r="A54" s="274"/>
      <c r="B54" s="55"/>
      <c r="C54" s="45"/>
      <c r="D54" s="101">
        <v>0.88980000000000004</v>
      </c>
      <c r="E54" s="55" t="s">
        <v>59</v>
      </c>
      <c r="F54" s="40">
        <f t="shared" si="0"/>
        <v>0.88980000000000004</v>
      </c>
      <c r="G54" s="45"/>
      <c r="H54" s="58"/>
      <c r="I54" s="125" t="s">
        <v>59</v>
      </c>
      <c r="J54" s="101">
        <v>5.9319999999999998E-2</v>
      </c>
      <c r="K54" s="101">
        <f>0.83048</f>
        <v>0.83048</v>
      </c>
    </row>
    <row r="55" spans="1:11" ht="14.25" customHeight="1" x14ac:dyDescent="0.25">
      <c r="A55" s="274"/>
      <c r="B55" s="55"/>
      <c r="C55" s="45"/>
      <c r="D55" s="103">
        <f>0.11771+0.0749</f>
        <v>0.19261</v>
      </c>
      <c r="E55" s="55" t="s">
        <v>109</v>
      </c>
      <c r="F55" s="40">
        <f t="shared" si="0"/>
        <v>0.19261</v>
      </c>
      <c r="G55" s="45"/>
      <c r="H55" s="58"/>
      <c r="I55" s="125" t="s">
        <v>109</v>
      </c>
      <c r="J55" s="103">
        <f>0.11771+0.0749</f>
        <v>0.19261</v>
      </c>
      <c r="K55" s="101">
        <v>0</v>
      </c>
    </row>
    <row r="56" spans="1:11" ht="15" customHeight="1" x14ac:dyDescent="0.25">
      <c r="A56" s="274"/>
      <c r="B56" s="55"/>
      <c r="C56" s="45"/>
      <c r="D56" s="103">
        <f>0.0737+0.07486+0.98986+0.03296</f>
        <v>1.1713800000000001</v>
      </c>
      <c r="E56" s="55" t="s">
        <v>60</v>
      </c>
      <c r="F56" s="40">
        <f t="shared" si="0"/>
        <v>1.1713800000000001</v>
      </c>
      <c r="G56" s="45"/>
      <c r="H56" s="58"/>
      <c r="I56" s="125" t="s">
        <v>60</v>
      </c>
      <c r="J56" s="101">
        <f>2.1018+0.01483-1.73853</f>
        <v>0.37809999999999988</v>
      </c>
      <c r="K56" s="101">
        <f>0.77515+0.01813</f>
        <v>0.79327999999999999</v>
      </c>
    </row>
    <row r="57" spans="1:11" ht="14.25" customHeight="1" x14ac:dyDescent="0.25">
      <c r="A57" s="274"/>
      <c r="B57" s="55"/>
      <c r="C57" s="45"/>
      <c r="D57" s="103">
        <f>0.02842</f>
        <v>2.8420000000000001E-2</v>
      </c>
      <c r="E57" s="55" t="s">
        <v>61</v>
      </c>
      <c r="F57" s="40">
        <f t="shared" si="0"/>
        <v>2.8420000000000001E-2</v>
      </c>
      <c r="G57" s="45"/>
      <c r="H57" s="58"/>
      <c r="I57" s="125" t="s">
        <v>61</v>
      </c>
      <c r="J57" s="101">
        <f>0.01421</f>
        <v>1.421E-2</v>
      </c>
      <c r="K57" s="101">
        <f>0.01421</f>
        <v>1.421E-2</v>
      </c>
    </row>
    <row r="58" spans="1:11" ht="14.25" customHeight="1" x14ac:dyDescent="0.25">
      <c r="A58" s="274"/>
      <c r="B58" s="55"/>
      <c r="C58" s="45"/>
      <c r="D58" s="103">
        <f>0.01864</f>
        <v>1.864E-2</v>
      </c>
      <c r="E58" s="55" t="s">
        <v>62</v>
      </c>
      <c r="F58" s="40">
        <f t="shared" si="0"/>
        <v>1.864E-2</v>
      </c>
      <c r="G58" s="45"/>
      <c r="H58" s="58"/>
      <c r="I58" s="125" t="s">
        <v>62</v>
      </c>
      <c r="J58" s="103">
        <f>0.01864</f>
        <v>1.864E-2</v>
      </c>
      <c r="K58" s="101">
        <v>0</v>
      </c>
    </row>
    <row r="59" spans="1:11" ht="15.75" x14ac:dyDescent="0.25">
      <c r="A59" s="274"/>
      <c r="B59" s="55"/>
      <c r="C59" s="45"/>
      <c r="D59" s="103">
        <v>0.34721000000000002</v>
      </c>
      <c r="E59" s="55" t="s">
        <v>63</v>
      </c>
      <c r="F59" s="40">
        <f t="shared" si="0"/>
        <v>0.34721000000000002</v>
      </c>
      <c r="G59" s="45"/>
      <c r="H59" s="58"/>
      <c r="I59" s="125" t="s">
        <v>63</v>
      </c>
      <c r="J59" s="103">
        <v>0.34721000000000002</v>
      </c>
      <c r="K59" s="101">
        <v>0</v>
      </c>
    </row>
    <row r="60" spans="1:11" ht="15.75" customHeight="1" x14ac:dyDescent="0.25">
      <c r="A60" s="274"/>
      <c r="B60" s="55"/>
      <c r="C60" s="45"/>
      <c r="D60" s="103">
        <f>0.07881+0.47283</f>
        <v>0.55164000000000002</v>
      </c>
      <c r="E60" s="55" t="s">
        <v>64</v>
      </c>
      <c r="F60" s="40">
        <f t="shared" si="0"/>
        <v>0.55164000000000002</v>
      </c>
      <c r="G60" s="45"/>
      <c r="H60" s="58"/>
      <c r="I60" s="125" t="s">
        <v>64</v>
      </c>
      <c r="J60" s="101">
        <f>0.51223</f>
        <v>0.51222999999999996</v>
      </c>
      <c r="K60" s="101">
        <v>3.9410000000000001E-2</v>
      </c>
    </row>
    <row r="61" spans="1:11" ht="13.5" customHeight="1" x14ac:dyDescent="0.25">
      <c r="A61" s="274"/>
      <c r="B61" s="55"/>
      <c r="C61" s="45"/>
      <c r="D61" s="103">
        <v>0.35499999999999998</v>
      </c>
      <c r="E61" s="55" t="s">
        <v>65</v>
      </c>
      <c r="F61" s="40">
        <f t="shared" si="0"/>
        <v>0.35499999999999998</v>
      </c>
      <c r="G61" s="45"/>
      <c r="H61" s="58"/>
      <c r="I61" s="125" t="s">
        <v>65</v>
      </c>
      <c r="J61" s="101">
        <v>0</v>
      </c>
      <c r="K61" s="103">
        <v>0.35499999999999998</v>
      </c>
    </row>
    <row r="62" spans="1:11" ht="15.75" x14ac:dyDescent="0.25">
      <c r="A62" s="274"/>
      <c r="B62" s="55"/>
      <c r="C62" s="45"/>
      <c r="D62" s="103">
        <f>0.20965</f>
        <v>0.20965</v>
      </c>
      <c r="E62" s="55" t="s">
        <v>66</v>
      </c>
      <c r="F62" s="40">
        <f t="shared" si="0"/>
        <v>0.20965</v>
      </c>
      <c r="G62" s="45"/>
      <c r="H62" s="58"/>
      <c r="I62" s="125" t="s">
        <v>66</v>
      </c>
      <c r="J62" s="101">
        <v>0</v>
      </c>
      <c r="K62" s="103">
        <f>0.20965</f>
        <v>0.20965</v>
      </c>
    </row>
    <row r="63" spans="1:11" ht="13.5" customHeight="1" x14ac:dyDescent="0.25">
      <c r="A63" s="274"/>
      <c r="B63" s="55"/>
      <c r="C63" s="45"/>
      <c r="D63" s="103">
        <f>0.20143</f>
        <v>0.20143</v>
      </c>
      <c r="E63" s="55" t="s">
        <v>67</v>
      </c>
      <c r="F63" s="40">
        <f t="shared" si="0"/>
        <v>0.20143</v>
      </c>
      <c r="G63" s="45"/>
      <c r="H63" s="58"/>
      <c r="I63" s="125" t="s">
        <v>67</v>
      </c>
      <c r="J63" s="103">
        <v>0</v>
      </c>
      <c r="K63" s="103">
        <f>0.20143</f>
        <v>0.20143</v>
      </c>
    </row>
    <row r="64" spans="1:11" ht="15.75" customHeight="1" x14ac:dyDescent="0.25">
      <c r="A64" s="274"/>
      <c r="B64" s="55"/>
      <c r="C64" s="45"/>
      <c r="D64" s="103">
        <f>1.2835</f>
        <v>1.2835000000000001</v>
      </c>
      <c r="E64" s="55" t="s">
        <v>68</v>
      </c>
      <c r="F64" s="40">
        <f t="shared" si="0"/>
        <v>1.2835000000000001</v>
      </c>
      <c r="G64" s="45"/>
      <c r="H64" s="58"/>
      <c r="I64" s="125" t="s">
        <v>68</v>
      </c>
      <c r="J64" s="101">
        <f>0.64175</f>
        <v>0.64175000000000004</v>
      </c>
      <c r="K64" s="101">
        <f>0.64175</f>
        <v>0.64175000000000004</v>
      </c>
    </row>
    <row r="65" spans="1:11" ht="16.5" customHeight="1" x14ac:dyDescent="0.25">
      <c r="A65" s="274"/>
      <c r="B65" s="55"/>
      <c r="C65" s="45"/>
      <c r="D65" s="103">
        <f>0.59265+0.01943+0.19319</f>
        <v>0.80526999999999993</v>
      </c>
      <c r="E65" s="55" t="s">
        <v>69</v>
      </c>
      <c r="F65" s="40">
        <f t="shared" si="0"/>
        <v>0.80526999999999993</v>
      </c>
      <c r="G65" s="45"/>
      <c r="H65" s="58"/>
      <c r="I65" s="125" t="s">
        <v>69</v>
      </c>
      <c r="J65" s="101">
        <f>0.42736</f>
        <v>0.42736000000000002</v>
      </c>
      <c r="K65" s="101">
        <f>0.37791</f>
        <v>0.37791000000000002</v>
      </c>
    </row>
    <row r="66" spans="1:11" ht="15.75" x14ac:dyDescent="0.25">
      <c r="A66" s="274"/>
      <c r="B66" s="55"/>
      <c r="C66" s="45"/>
      <c r="D66" s="103">
        <f>0.15089+0.294</f>
        <v>0.44489000000000001</v>
      </c>
      <c r="E66" s="55" t="s">
        <v>70</v>
      </c>
      <c r="F66" s="40">
        <f t="shared" si="0"/>
        <v>0.44489000000000001</v>
      </c>
      <c r="G66" s="45"/>
      <c r="H66" s="58"/>
      <c r="I66" s="125" t="s">
        <v>70</v>
      </c>
      <c r="J66" s="101">
        <f>0.33737</f>
        <v>0.33737</v>
      </c>
      <c r="K66" s="101">
        <f>0.10752</f>
        <v>0.10752</v>
      </c>
    </row>
    <row r="67" spans="1:11" ht="17.25" customHeight="1" x14ac:dyDescent="0.25">
      <c r="A67" s="274"/>
      <c r="B67" s="55"/>
      <c r="C67" s="45"/>
      <c r="D67" s="103">
        <f>0.24717</f>
        <v>0.24717</v>
      </c>
      <c r="E67" s="55" t="s">
        <v>71</v>
      </c>
      <c r="F67" s="40">
        <f t="shared" si="0"/>
        <v>0.24717</v>
      </c>
      <c r="G67" s="45"/>
      <c r="H67" s="58"/>
      <c r="I67" s="125" t="s">
        <v>71</v>
      </c>
      <c r="J67" s="101">
        <v>0</v>
      </c>
      <c r="K67" s="103">
        <f>0.24717</f>
        <v>0.24717</v>
      </c>
    </row>
    <row r="68" spans="1:11" ht="30.75" customHeight="1" x14ac:dyDescent="0.25">
      <c r="A68" s="274"/>
      <c r="B68" s="55"/>
      <c r="C68" s="45"/>
      <c r="D68" s="103">
        <f>0.32502</f>
        <v>0.32501999999999998</v>
      </c>
      <c r="E68" s="55" t="s">
        <v>120</v>
      </c>
      <c r="F68" s="40">
        <f t="shared" si="0"/>
        <v>0.32501999999999998</v>
      </c>
      <c r="G68" s="45"/>
      <c r="H68" s="58"/>
      <c r="I68" s="125" t="s">
        <v>120</v>
      </c>
      <c r="J68" s="101">
        <v>0</v>
      </c>
      <c r="K68" s="103">
        <f>0.32502</f>
        <v>0.32501999999999998</v>
      </c>
    </row>
    <row r="69" spans="1:11" ht="19.5" customHeight="1" x14ac:dyDescent="0.25">
      <c r="A69" s="274"/>
      <c r="B69" s="55"/>
      <c r="C69" s="45"/>
      <c r="D69" s="103">
        <f>4.2372</f>
        <v>4.2371999999999996</v>
      </c>
      <c r="E69" s="55" t="s">
        <v>72</v>
      </c>
      <c r="F69" s="40">
        <f t="shared" si="0"/>
        <v>4.2371999999999996</v>
      </c>
      <c r="G69" s="45"/>
      <c r="H69" s="58"/>
      <c r="I69" s="125" t="s">
        <v>72</v>
      </c>
      <c r="J69" s="101">
        <v>3.5310000000000001</v>
      </c>
      <c r="K69" s="101">
        <v>0.70620000000000005</v>
      </c>
    </row>
    <row r="70" spans="1:11" ht="16.5" customHeight="1" x14ac:dyDescent="0.25">
      <c r="A70" s="274"/>
      <c r="B70" s="55"/>
      <c r="C70" s="45"/>
      <c r="D70" s="101">
        <f>0.05484+0.1939</f>
        <v>0.24873999999999999</v>
      </c>
      <c r="E70" s="55" t="s">
        <v>73</v>
      </c>
      <c r="F70" s="40">
        <f t="shared" si="0"/>
        <v>0.24873999999999999</v>
      </c>
      <c r="G70" s="45"/>
      <c r="H70" s="58"/>
      <c r="I70" s="125" t="s">
        <v>73</v>
      </c>
      <c r="J70" s="101">
        <v>0.11748</v>
      </c>
      <c r="K70" s="101">
        <v>0.13125999999999999</v>
      </c>
    </row>
    <row r="71" spans="1:11" ht="12.75" customHeight="1" x14ac:dyDescent="0.25">
      <c r="A71" s="274"/>
      <c r="B71" s="55"/>
      <c r="C71" s="45"/>
      <c r="D71" s="103">
        <f>0.01744</f>
        <v>1.7440000000000001E-2</v>
      </c>
      <c r="E71" s="55" t="s">
        <v>74</v>
      </c>
      <c r="F71" s="40">
        <f t="shared" si="0"/>
        <v>1.7440000000000001E-2</v>
      </c>
      <c r="G71" s="45"/>
      <c r="H71" s="58"/>
      <c r="I71" s="125" t="s">
        <v>74</v>
      </c>
      <c r="J71" s="103">
        <f>0.01744</f>
        <v>1.7440000000000001E-2</v>
      </c>
      <c r="K71" s="101">
        <v>0</v>
      </c>
    </row>
    <row r="72" spans="1:11" ht="13.5" customHeight="1" x14ac:dyDescent="0.25">
      <c r="A72" s="274"/>
      <c r="B72" s="55"/>
      <c r="C72" s="45"/>
      <c r="D72" s="103">
        <v>0.27403</v>
      </c>
      <c r="E72" s="55" t="s">
        <v>75</v>
      </c>
      <c r="F72" s="40">
        <f t="shared" si="0"/>
        <v>0.27403</v>
      </c>
      <c r="G72" s="45"/>
      <c r="H72" s="58"/>
      <c r="I72" s="125" t="s">
        <v>75</v>
      </c>
      <c r="J72" s="101">
        <v>0</v>
      </c>
      <c r="K72" s="103">
        <v>0.27403</v>
      </c>
    </row>
    <row r="73" spans="1:11" ht="14.25" customHeight="1" x14ac:dyDescent="0.25">
      <c r="A73" s="274"/>
      <c r="B73" s="55"/>
      <c r="C73" s="45"/>
      <c r="D73" s="103">
        <f>0.11689+0.23377+0.99645+0.24156</f>
        <v>1.5886699999999998</v>
      </c>
      <c r="E73" s="55" t="s">
        <v>76</v>
      </c>
      <c r="F73" s="40">
        <f t="shared" si="0"/>
        <v>1.5886699999999998</v>
      </c>
      <c r="G73" s="45"/>
      <c r="H73" s="58"/>
      <c r="I73" s="125" t="s">
        <v>76</v>
      </c>
      <c r="J73" s="101">
        <v>0.97269000000000005</v>
      </c>
      <c r="K73" s="101">
        <v>0.61597999999999997</v>
      </c>
    </row>
    <row r="74" spans="1:11" ht="16.5" customHeight="1" x14ac:dyDescent="0.25">
      <c r="A74" s="274"/>
      <c r="B74" s="55"/>
      <c r="C74" s="45"/>
      <c r="D74" s="103">
        <v>3.8603499999999999</v>
      </c>
      <c r="E74" s="55" t="s">
        <v>77</v>
      </c>
      <c r="F74" s="40">
        <f t="shared" si="0"/>
        <v>3.8603499999999999</v>
      </c>
      <c r="G74" s="45"/>
      <c r="H74" s="58"/>
      <c r="I74" s="125" t="s">
        <v>77</v>
      </c>
      <c r="J74" s="101">
        <f>2.1232</f>
        <v>2.1232000000000002</v>
      </c>
      <c r="K74" s="101">
        <v>1.73715</v>
      </c>
    </row>
    <row r="75" spans="1:11" ht="15.75" customHeight="1" x14ac:dyDescent="0.25">
      <c r="A75" s="274"/>
      <c r="B75" s="55"/>
      <c r="C75" s="45"/>
      <c r="D75" s="103">
        <f>0.2048</f>
        <v>0.20480000000000001</v>
      </c>
      <c r="E75" s="55" t="s">
        <v>78</v>
      </c>
      <c r="F75" s="40">
        <f t="shared" si="0"/>
        <v>0.20480000000000001</v>
      </c>
      <c r="G75" s="45"/>
      <c r="H75" s="58"/>
      <c r="I75" s="125" t="s">
        <v>78</v>
      </c>
      <c r="J75" s="103">
        <f>0.2048</f>
        <v>0.20480000000000001</v>
      </c>
      <c r="K75" s="101">
        <v>0</v>
      </c>
    </row>
    <row r="76" spans="1:11" ht="13.5" customHeight="1" x14ac:dyDescent="0.25">
      <c r="A76" s="274"/>
      <c r="B76" s="55"/>
      <c r="C76" s="45"/>
      <c r="D76" s="103">
        <f>0.4806</f>
        <v>0.48060000000000003</v>
      </c>
      <c r="E76" s="55" t="s">
        <v>79</v>
      </c>
      <c r="F76" s="40">
        <f t="shared" si="0"/>
        <v>0.48060000000000003</v>
      </c>
      <c r="G76" s="45"/>
      <c r="H76" s="58"/>
      <c r="I76" s="125" t="s">
        <v>79</v>
      </c>
      <c r="J76" s="103">
        <f>0.4806</f>
        <v>0.48060000000000003</v>
      </c>
      <c r="K76" s="101">
        <v>0</v>
      </c>
    </row>
    <row r="77" spans="1:11" ht="17.25" customHeight="1" x14ac:dyDescent="0.25">
      <c r="A77" s="274"/>
      <c r="B77" s="55"/>
      <c r="C77" s="45"/>
      <c r="D77" s="103">
        <f>0.19456</f>
        <v>0.19456000000000001</v>
      </c>
      <c r="E77" s="55" t="s">
        <v>121</v>
      </c>
      <c r="F77" s="40">
        <f t="shared" si="0"/>
        <v>0.19456000000000001</v>
      </c>
      <c r="G77" s="45"/>
      <c r="H77" s="58"/>
      <c r="I77" s="125" t="s">
        <v>121</v>
      </c>
      <c r="J77" s="101">
        <f>0.14268</f>
        <v>0.14268</v>
      </c>
      <c r="K77" s="101">
        <v>5.1880000000000003E-2</v>
      </c>
    </row>
    <row r="78" spans="1:11" ht="16.5" customHeight="1" x14ac:dyDescent="0.25">
      <c r="A78" s="274"/>
      <c r="B78" s="55"/>
      <c r="C78" s="45"/>
      <c r="D78" s="103">
        <f>0.2722</f>
        <v>0.2722</v>
      </c>
      <c r="E78" s="55" t="s">
        <v>80</v>
      </c>
      <c r="F78" s="40">
        <f t="shared" ref="F78:F113" si="1">D78</f>
        <v>0.2722</v>
      </c>
      <c r="G78" s="45"/>
      <c r="H78" s="58"/>
      <c r="I78" s="125" t="s">
        <v>80</v>
      </c>
      <c r="J78" s="101">
        <v>0</v>
      </c>
      <c r="K78" s="103">
        <f>0.2722</f>
        <v>0.2722</v>
      </c>
    </row>
    <row r="79" spans="1:11" ht="12.75" customHeight="1" x14ac:dyDescent="0.25">
      <c r="A79" s="274"/>
      <c r="B79" s="55"/>
      <c r="C79" s="45"/>
      <c r="D79" s="103">
        <f>0.33545+0.10563</f>
        <v>0.44108000000000003</v>
      </c>
      <c r="E79" s="55" t="s">
        <v>81</v>
      </c>
      <c r="F79" s="40">
        <f t="shared" si="1"/>
        <v>0.44108000000000003</v>
      </c>
      <c r="G79" s="45"/>
      <c r="H79" s="58"/>
      <c r="I79" s="125" t="s">
        <v>81</v>
      </c>
      <c r="J79" s="101">
        <v>9.2480000000000007E-2</v>
      </c>
      <c r="K79" s="101">
        <v>0.34860000000000002</v>
      </c>
    </row>
    <row r="80" spans="1:11" ht="14.25" customHeight="1" x14ac:dyDescent="0.25">
      <c r="A80" s="274"/>
      <c r="B80" s="55"/>
      <c r="C80" s="45"/>
      <c r="D80" s="103">
        <f>0.1548+0.6776</f>
        <v>0.83240000000000003</v>
      </c>
      <c r="E80" s="55" t="s">
        <v>82</v>
      </c>
      <c r="F80" s="40">
        <f t="shared" si="1"/>
        <v>0.83240000000000003</v>
      </c>
      <c r="G80" s="45"/>
      <c r="H80" s="58"/>
      <c r="I80" s="125" t="s">
        <v>82</v>
      </c>
      <c r="J80" s="101">
        <f>0.1694</f>
        <v>0.1694</v>
      </c>
      <c r="K80" s="101">
        <f>0.663</f>
        <v>0.66300000000000003</v>
      </c>
    </row>
    <row r="81" spans="1:11" ht="14.25" customHeight="1" x14ac:dyDescent="0.25">
      <c r="A81" s="274"/>
      <c r="B81" s="55"/>
      <c r="C81" s="45"/>
      <c r="D81" s="103">
        <v>2.2499999999999999E-2</v>
      </c>
      <c r="E81" s="55" t="s">
        <v>83</v>
      </c>
      <c r="F81" s="40">
        <f t="shared" si="1"/>
        <v>2.2499999999999999E-2</v>
      </c>
      <c r="G81" s="45"/>
      <c r="H81" s="58"/>
      <c r="I81" s="125" t="s">
        <v>83</v>
      </c>
      <c r="J81" s="101">
        <v>0</v>
      </c>
      <c r="K81" s="103">
        <v>2.2499999999999999E-2</v>
      </c>
    </row>
    <row r="82" spans="1:11" ht="12.75" customHeight="1" x14ac:dyDescent="0.25">
      <c r="A82" s="274"/>
      <c r="B82" s="55"/>
      <c r="C82" s="45"/>
      <c r="D82" s="103">
        <v>2.2499999999999999E-2</v>
      </c>
      <c r="E82" s="55" t="s">
        <v>84</v>
      </c>
      <c r="F82" s="40">
        <f t="shared" si="1"/>
        <v>2.2499999999999999E-2</v>
      </c>
      <c r="G82" s="45"/>
      <c r="H82" s="58"/>
      <c r="I82" s="125" t="s">
        <v>84</v>
      </c>
      <c r="J82" s="101">
        <v>1.125E-2</v>
      </c>
      <c r="K82" s="101">
        <v>1.125E-2</v>
      </c>
    </row>
    <row r="83" spans="1:11" ht="12.75" customHeight="1" x14ac:dyDescent="0.25">
      <c r="A83" s="274"/>
      <c r="B83" s="55"/>
      <c r="C83" s="45"/>
      <c r="D83" s="101">
        <f>0.0225</f>
        <v>2.2499999999999999E-2</v>
      </c>
      <c r="E83" s="55" t="s">
        <v>85</v>
      </c>
      <c r="F83" s="40">
        <f t="shared" si="1"/>
        <v>2.2499999999999999E-2</v>
      </c>
      <c r="G83" s="45"/>
      <c r="H83" s="58"/>
      <c r="I83" s="125" t="s">
        <v>85</v>
      </c>
      <c r="J83" s="101">
        <v>0</v>
      </c>
      <c r="K83" s="101">
        <f>0.0225</f>
        <v>2.2499999999999999E-2</v>
      </c>
    </row>
    <row r="84" spans="1:11" ht="27" customHeight="1" x14ac:dyDescent="0.25">
      <c r="A84" s="274"/>
      <c r="B84" s="55"/>
      <c r="C84" s="45"/>
      <c r="D84" s="103">
        <f>0.6915</f>
        <v>0.6915</v>
      </c>
      <c r="E84" s="55" t="s">
        <v>122</v>
      </c>
      <c r="F84" s="40">
        <f t="shared" si="1"/>
        <v>0.6915</v>
      </c>
      <c r="G84" s="45"/>
      <c r="H84" s="58"/>
      <c r="I84" s="125" t="s">
        <v>86</v>
      </c>
      <c r="J84" s="101">
        <v>0</v>
      </c>
      <c r="K84" s="103">
        <f>0.6915</f>
        <v>0.6915</v>
      </c>
    </row>
    <row r="85" spans="1:11" ht="16.5" customHeight="1" x14ac:dyDescent="0.25">
      <c r="A85" s="274"/>
      <c r="B85" s="55"/>
      <c r="C85" s="45"/>
      <c r="D85" s="103">
        <f>5.44095+2.81538+7.37979</f>
        <v>15.63612</v>
      </c>
      <c r="E85" s="55" t="s">
        <v>87</v>
      </c>
      <c r="F85" s="40">
        <f t="shared" si="1"/>
        <v>15.63612</v>
      </c>
      <c r="G85" s="45"/>
      <c r="H85" s="58"/>
      <c r="I85" s="125" t="s">
        <v>87</v>
      </c>
      <c r="J85" s="101">
        <v>11.829700000000001</v>
      </c>
      <c r="K85" s="101">
        <f>3.80642</f>
        <v>3.8064200000000001</v>
      </c>
    </row>
    <row r="86" spans="1:11" ht="29.25" customHeight="1" x14ac:dyDescent="0.25">
      <c r="A86" s="274"/>
      <c r="B86" s="55"/>
      <c r="C86" s="45"/>
      <c r="D86" s="103">
        <v>0.11871</v>
      </c>
      <c r="E86" s="55" t="s">
        <v>88</v>
      </c>
      <c r="F86" s="40">
        <f t="shared" si="1"/>
        <v>0.11871</v>
      </c>
      <c r="G86" s="45"/>
      <c r="H86" s="58"/>
      <c r="I86" s="125" t="s">
        <v>88</v>
      </c>
      <c r="J86" s="101">
        <v>0</v>
      </c>
      <c r="K86" s="103">
        <v>0.11871</v>
      </c>
    </row>
    <row r="87" spans="1:11" ht="13.5" customHeight="1" x14ac:dyDescent="0.25">
      <c r="A87" s="274"/>
      <c r="B87" s="55"/>
      <c r="C87" s="45"/>
      <c r="D87" s="103">
        <v>3.8841000000000001</v>
      </c>
      <c r="E87" s="55" t="s">
        <v>89</v>
      </c>
      <c r="F87" s="40">
        <f t="shared" si="1"/>
        <v>3.8841000000000001</v>
      </c>
      <c r="G87" s="45"/>
      <c r="H87" s="58"/>
      <c r="I87" s="125" t="s">
        <v>89</v>
      </c>
      <c r="J87" s="101">
        <f>3.48275</f>
        <v>3.4827499999999998</v>
      </c>
      <c r="K87" s="101">
        <f>0.40135</f>
        <v>0.40134999999999998</v>
      </c>
    </row>
    <row r="88" spans="1:11" ht="18" customHeight="1" x14ac:dyDescent="0.25">
      <c r="A88" s="274"/>
      <c r="B88" s="55"/>
      <c r="C88" s="45"/>
      <c r="D88" s="103">
        <v>4.298</v>
      </c>
      <c r="E88" s="55" t="s">
        <v>123</v>
      </c>
      <c r="F88" s="40">
        <f t="shared" si="1"/>
        <v>4.298</v>
      </c>
      <c r="G88" s="45"/>
      <c r="H88" s="58"/>
      <c r="I88" s="125" t="s">
        <v>123</v>
      </c>
      <c r="J88" s="101">
        <v>1.5349999999999999</v>
      </c>
      <c r="K88" s="101">
        <v>2.7629999999999999</v>
      </c>
    </row>
    <row r="89" spans="1:11" ht="15.75" customHeight="1" x14ac:dyDescent="0.25">
      <c r="A89" s="274"/>
      <c r="B89" s="55"/>
      <c r="C89" s="45"/>
      <c r="D89" s="103">
        <f>3.377</f>
        <v>3.3769999999999998</v>
      </c>
      <c r="E89" s="55" t="s">
        <v>124</v>
      </c>
      <c r="F89" s="40">
        <f t="shared" si="1"/>
        <v>3.3769999999999998</v>
      </c>
      <c r="G89" s="45"/>
      <c r="H89" s="58"/>
      <c r="I89" s="125" t="s">
        <v>124</v>
      </c>
      <c r="J89" s="101">
        <v>1.5964</v>
      </c>
      <c r="K89" s="101">
        <v>1.7806</v>
      </c>
    </row>
    <row r="90" spans="1:11" ht="15" customHeight="1" x14ac:dyDescent="0.25">
      <c r="A90" s="274"/>
      <c r="B90" s="55"/>
      <c r="C90" s="45"/>
      <c r="D90" s="103">
        <v>2.7629999999999999</v>
      </c>
      <c r="E90" s="55" t="s">
        <v>125</v>
      </c>
      <c r="F90" s="40">
        <f t="shared" si="1"/>
        <v>2.7629999999999999</v>
      </c>
      <c r="G90" s="45"/>
      <c r="H90" s="58"/>
      <c r="I90" s="125" t="s">
        <v>125</v>
      </c>
      <c r="J90" s="101">
        <v>2.149</v>
      </c>
      <c r="K90" s="101">
        <f>0.614</f>
        <v>0.61399999999999999</v>
      </c>
    </row>
    <row r="91" spans="1:11" ht="17.25" customHeight="1" x14ac:dyDescent="0.25">
      <c r="A91" s="274"/>
      <c r="B91" s="55"/>
      <c r="C91" s="45"/>
      <c r="D91" s="103">
        <v>1.228</v>
      </c>
      <c r="E91" s="55" t="s">
        <v>126</v>
      </c>
      <c r="F91" s="40">
        <f t="shared" si="1"/>
        <v>1.228</v>
      </c>
      <c r="G91" s="45"/>
      <c r="H91" s="58"/>
      <c r="I91" s="125" t="s">
        <v>126</v>
      </c>
      <c r="J91" s="103">
        <v>1.228</v>
      </c>
      <c r="K91" s="101">
        <v>0</v>
      </c>
    </row>
    <row r="92" spans="1:11" ht="28.5" customHeight="1" x14ac:dyDescent="0.25">
      <c r="A92" s="274"/>
      <c r="B92" s="55"/>
      <c r="C92" s="45"/>
      <c r="D92" s="103">
        <f>0.921</f>
        <v>0.92100000000000004</v>
      </c>
      <c r="E92" s="55" t="s">
        <v>127</v>
      </c>
      <c r="F92" s="40">
        <f t="shared" si="1"/>
        <v>0.92100000000000004</v>
      </c>
      <c r="G92" s="45"/>
      <c r="H92" s="58"/>
      <c r="I92" s="125" t="s">
        <v>127</v>
      </c>
      <c r="J92" s="103">
        <f>0.921</f>
        <v>0.92100000000000004</v>
      </c>
      <c r="K92" s="101">
        <v>0</v>
      </c>
    </row>
    <row r="93" spans="1:11" ht="15.75" customHeight="1" x14ac:dyDescent="0.25">
      <c r="A93" s="274"/>
      <c r="B93" s="55"/>
      <c r="C93" s="45"/>
      <c r="D93" s="103">
        <v>1.7751300000000001</v>
      </c>
      <c r="E93" s="55" t="s">
        <v>112</v>
      </c>
      <c r="F93" s="40">
        <f t="shared" si="1"/>
        <v>1.7751300000000001</v>
      </c>
      <c r="G93" s="45"/>
      <c r="H93" s="58"/>
      <c r="I93" s="125" t="s">
        <v>112</v>
      </c>
      <c r="J93" s="103">
        <v>1.7751300000000001</v>
      </c>
      <c r="K93" s="101">
        <v>0</v>
      </c>
    </row>
    <row r="94" spans="1:11" ht="30" x14ac:dyDescent="0.25">
      <c r="A94" s="274"/>
      <c r="B94" s="55"/>
      <c r="C94" s="45"/>
      <c r="D94" s="103">
        <f>2.763</f>
        <v>2.7629999999999999</v>
      </c>
      <c r="E94" s="55" t="s">
        <v>128</v>
      </c>
      <c r="F94" s="40">
        <f t="shared" si="1"/>
        <v>2.7629999999999999</v>
      </c>
      <c r="G94" s="45"/>
      <c r="H94" s="58"/>
      <c r="I94" s="125" t="s">
        <v>128</v>
      </c>
      <c r="J94" s="101">
        <f>2.456</f>
        <v>2.456</v>
      </c>
      <c r="K94" s="101">
        <v>0.307</v>
      </c>
    </row>
    <row r="95" spans="1:11" ht="13.5" customHeight="1" x14ac:dyDescent="0.25">
      <c r="A95" s="274"/>
      <c r="B95" s="55"/>
      <c r="C95" s="45"/>
      <c r="D95" s="103">
        <v>1.7751300000000001</v>
      </c>
      <c r="E95" s="55" t="s">
        <v>111</v>
      </c>
      <c r="F95" s="40">
        <f t="shared" si="1"/>
        <v>1.7751300000000001</v>
      </c>
      <c r="G95" s="45"/>
      <c r="H95" s="58"/>
      <c r="I95" s="125" t="s">
        <v>111</v>
      </c>
      <c r="J95" s="103">
        <v>1.7751300000000001</v>
      </c>
      <c r="K95" s="101">
        <v>0</v>
      </c>
    </row>
    <row r="96" spans="1:11" ht="15.75" customHeight="1" x14ac:dyDescent="0.25">
      <c r="A96" s="274"/>
      <c r="B96" s="55"/>
      <c r="C96" s="45"/>
      <c r="D96" s="103">
        <v>2.9788800000000002</v>
      </c>
      <c r="E96" s="55" t="s">
        <v>90</v>
      </c>
      <c r="F96" s="40">
        <f t="shared" si="1"/>
        <v>2.9788800000000002</v>
      </c>
      <c r="G96" s="45"/>
      <c r="H96" s="58"/>
      <c r="I96" s="125" t="s">
        <v>90</v>
      </c>
      <c r="J96" s="101">
        <f>2.0544</f>
        <v>2.0543999999999998</v>
      </c>
      <c r="K96" s="101">
        <v>0.92447999999999997</v>
      </c>
    </row>
    <row r="97" spans="1:11" ht="15" customHeight="1" x14ac:dyDescent="0.25">
      <c r="A97" s="274"/>
      <c r="B97" s="55"/>
      <c r="C97" s="45"/>
      <c r="D97" s="103">
        <f>2.98123+1.39614</f>
        <v>4.37737</v>
      </c>
      <c r="E97" s="55" t="s">
        <v>91</v>
      </c>
      <c r="F97" s="40">
        <f t="shared" si="1"/>
        <v>4.37737</v>
      </c>
      <c r="G97" s="45"/>
      <c r="H97" s="58"/>
      <c r="I97" s="125" t="s">
        <v>91</v>
      </c>
      <c r="J97" s="101">
        <f>1.9378</f>
        <v>1.9378</v>
      </c>
      <c r="K97" s="101">
        <f>2.43957</f>
        <v>2.4395699999999998</v>
      </c>
    </row>
    <row r="98" spans="1:11" ht="13.5" customHeight="1" x14ac:dyDescent="0.25">
      <c r="A98" s="274"/>
      <c r="B98" s="55"/>
      <c r="C98" s="45"/>
      <c r="D98" s="103">
        <v>0.58884000000000003</v>
      </c>
      <c r="E98" s="55" t="s">
        <v>92</v>
      </c>
      <c r="F98" s="40">
        <f t="shared" si="1"/>
        <v>0.58884000000000003</v>
      </c>
      <c r="G98" s="45"/>
      <c r="H98" s="58"/>
      <c r="I98" s="125" t="s">
        <v>92</v>
      </c>
      <c r="J98" s="103">
        <v>0</v>
      </c>
      <c r="K98" s="103">
        <v>0.58884000000000003</v>
      </c>
    </row>
    <row r="99" spans="1:11" ht="13.5" customHeight="1" x14ac:dyDescent="0.25">
      <c r="A99" s="274"/>
      <c r="B99" s="55"/>
      <c r="C99" s="45"/>
      <c r="D99" s="103">
        <v>2.6329999999999999E-2</v>
      </c>
      <c r="E99" s="55" t="s">
        <v>93</v>
      </c>
      <c r="F99" s="40">
        <f t="shared" si="1"/>
        <v>2.6329999999999999E-2</v>
      </c>
      <c r="G99" s="45"/>
      <c r="H99" s="58"/>
      <c r="I99" s="125" t="s">
        <v>93</v>
      </c>
      <c r="J99" s="103">
        <v>2.6329999999999999E-2</v>
      </c>
      <c r="K99" s="101">
        <v>0</v>
      </c>
    </row>
    <row r="100" spans="1:11" ht="13.5" customHeight="1" x14ac:dyDescent="0.25">
      <c r="A100" s="274"/>
      <c r="B100" s="55"/>
      <c r="C100" s="45"/>
      <c r="D100" s="103">
        <f>1.9231</f>
        <v>1.9231</v>
      </c>
      <c r="E100" s="55" t="s">
        <v>94</v>
      </c>
      <c r="F100" s="40">
        <f t="shared" si="1"/>
        <v>1.9231</v>
      </c>
      <c r="G100" s="45"/>
      <c r="H100" s="58"/>
      <c r="I100" s="125" t="s">
        <v>94</v>
      </c>
      <c r="J100" s="101">
        <v>0.27472999999999997</v>
      </c>
      <c r="K100" s="101">
        <f>1.64837</f>
        <v>1.6483699999999999</v>
      </c>
    </row>
    <row r="101" spans="1:11" ht="15" customHeight="1" x14ac:dyDescent="0.25">
      <c r="A101" s="274"/>
      <c r="B101" s="55"/>
      <c r="C101" s="45"/>
      <c r="D101" s="103">
        <v>0.95101999999999998</v>
      </c>
      <c r="E101" s="55" t="s">
        <v>95</v>
      </c>
      <c r="F101" s="40">
        <f t="shared" si="1"/>
        <v>0.95101999999999998</v>
      </c>
      <c r="G101" s="45"/>
      <c r="H101" s="58"/>
      <c r="I101" s="125" t="s">
        <v>95</v>
      </c>
      <c r="J101" s="103">
        <v>0</v>
      </c>
      <c r="K101" s="103">
        <v>0.95101999999999998</v>
      </c>
    </row>
    <row r="102" spans="1:11" ht="15" customHeight="1" x14ac:dyDescent="0.25">
      <c r="A102" s="274"/>
      <c r="B102" s="55"/>
      <c r="C102" s="45"/>
      <c r="D102" s="103">
        <f>5.12487+8.05122</f>
        <v>13.17609</v>
      </c>
      <c r="E102" s="55" t="s">
        <v>96</v>
      </c>
      <c r="F102" s="40">
        <f t="shared" si="1"/>
        <v>13.17609</v>
      </c>
      <c r="G102" s="45"/>
      <c r="H102" s="58"/>
      <c r="I102" s="125" t="s">
        <v>96</v>
      </c>
      <c r="J102" s="101">
        <v>10.27764</v>
      </c>
      <c r="K102" s="101">
        <f>2.89845</f>
        <v>2.89845</v>
      </c>
    </row>
    <row r="103" spans="1:11" ht="15" customHeight="1" x14ac:dyDescent="0.25">
      <c r="A103" s="274"/>
      <c r="B103" s="55"/>
      <c r="C103" s="45"/>
      <c r="D103" s="103">
        <v>0.19153999999999999</v>
      </c>
      <c r="E103" s="55" t="s">
        <v>97</v>
      </c>
      <c r="F103" s="40">
        <f t="shared" si="1"/>
        <v>0.19153999999999999</v>
      </c>
      <c r="G103" s="45"/>
      <c r="H103" s="58"/>
      <c r="I103" s="125" t="s">
        <v>97</v>
      </c>
      <c r="J103" s="101">
        <f>0.07367</f>
        <v>7.3669999999999999E-2</v>
      </c>
      <c r="K103" s="101">
        <f>0.11787</f>
        <v>0.11787</v>
      </c>
    </row>
    <row r="104" spans="1:11" ht="14.25" customHeight="1" x14ac:dyDescent="0.25">
      <c r="A104" s="274"/>
      <c r="B104" s="55"/>
      <c r="C104" s="45"/>
      <c r="D104" s="103">
        <f>0.36504</f>
        <v>0.36503999999999998</v>
      </c>
      <c r="E104" s="55" t="s">
        <v>98</v>
      </c>
      <c r="F104" s="40">
        <f t="shared" si="1"/>
        <v>0.36503999999999998</v>
      </c>
      <c r="G104" s="45"/>
      <c r="H104" s="58"/>
      <c r="I104" s="125" t="s">
        <v>98</v>
      </c>
      <c r="J104" s="101">
        <f>0.21294</f>
        <v>0.21293999999999999</v>
      </c>
      <c r="K104" s="101">
        <f>0.1521</f>
        <v>0.15210000000000001</v>
      </c>
    </row>
    <row r="105" spans="1:11" ht="13.5" customHeight="1" x14ac:dyDescent="0.25">
      <c r="A105" s="274"/>
      <c r="B105" s="55"/>
      <c r="C105" s="45"/>
      <c r="D105" s="103">
        <v>0.63729000000000002</v>
      </c>
      <c r="E105" s="55" t="s">
        <v>99</v>
      </c>
      <c r="F105" s="40">
        <f t="shared" si="1"/>
        <v>0.63729000000000002</v>
      </c>
      <c r="G105" s="45"/>
      <c r="H105" s="58"/>
      <c r="I105" s="125" t="s">
        <v>99</v>
      </c>
      <c r="J105" s="103">
        <v>0.63729000000000002</v>
      </c>
      <c r="K105" s="101">
        <v>0</v>
      </c>
    </row>
    <row r="106" spans="1:11" ht="12.75" customHeight="1" x14ac:dyDescent="0.25">
      <c r="A106" s="274"/>
      <c r="B106" s="55"/>
      <c r="C106" s="45"/>
      <c r="D106" s="103">
        <f>0.95626</f>
        <v>0.95626</v>
      </c>
      <c r="E106" s="55" t="s">
        <v>100</v>
      </c>
      <c r="F106" s="40">
        <f t="shared" si="1"/>
        <v>0.95626</v>
      </c>
      <c r="G106" s="45"/>
      <c r="H106" s="58"/>
      <c r="I106" s="125" t="s">
        <v>100</v>
      </c>
      <c r="J106" s="101">
        <f>0.3825</f>
        <v>0.38250000000000001</v>
      </c>
      <c r="K106" s="101">
        <f>0.57376</f>
        <v>0.57376000000000005</v>
      </c>
    </row>
    <row r="107" spans="1:11" ht="15" customHeight="1" x14ac:dyDescent="0.25">
      <c r="A107" s="274"/>
      <c r="B107" s="55"/>
      <c r="C107" s="45"/>
      <c r="D107" s="103">
        <f>0.17345+0.276+0.08587-0.00006</f>
        <v>0.53526000000000007</v>
      </c>
      <c r="E107" s="56" t="s">
        <v>101</v>
      </c>
      <c r="F107" s="40">
        <f t="shared" si="1"/>
        <v>0.53526000000000007</v>
      </c>
      <c r="G107" s="45"/>
      <c r="H107" s="58"/>
      <c r="I107" s="125" t="s">
        <v>101</v>
      </c>
      <c r="J107" s="101">
        <f>0.3642</f>
        <v>0.36420000000000002</v>
      </c>
      <c r="K107" s="101">
        <f>0.17112</f>
        <v>0.17111999999999999</v>
      </c>
    </row>
    <row r="108" spans="1:11" ht="14.25" customHeight="1" x14ac:dyDescent="0.25">
      <c r="A108" s="274"/>
      <c r="B108" s="55"/>
      <c r="C108" s="45"/>
      <c r="D108" s="103">
        <f>0.49434+1.0431</f>
        <v>1.5374399999999999</v>
      </c>
      <c r="E108" s="55" t="s">
        <v>105</v>
      </c>
      <c r="F108" s="40">
        <f t="shared" si="1"/>
        <v>1.5374399999999999</v>
      </c>
      <c r="G108" s="45"/>
      <c r="H108" s="58"/>
      <c r="I108" s="125" t="s">
        <v>105</v>
      </c>
      <c r="J108" s="101">
        <v>0.55656000000000005</v>
      </c>
      <c r="K108" s="101">
        <v>0.98087999999999997</v>
      </c>
    </row>
    <row r="109" spans="1:11" ht="12.75" customHeight="1" x14ac:dyDescent="0.25">
      <c r="A109" s="274"/>
      <c r="B109" s="55"/>
      <c r="C109" s="45"/>
      <c r="D109" s="103">
        <v>0.67900000000000005</v>
      </c>
      <c r="E109" s="55" t="s">
        <v>104</v>
      </c>
      <c r="F109" s="40">
        <f t="shared" si="1"/>
        <v>0.67900000000000005</v>
      </c>
      <c r="G109" s="45"/>
      <c r="H109" s="58"/>
      <c r="I109" s="125" t="s">
        <v>104</v>
      </c>
      <c r="J109" s="101">
        <f>0.27645</f>
        <v>0.27644999999999997</v>
      </c>
      <c r="K109" s="101">
        <v>0.40255000000000002</v>
      </c>
    </row>
    <row r="110" spans="1:11" ht="14.25" customHeight="1" x14ac:dyDescent="0.25">
      <c r="A110" s="274"/>
      <c r="B110" s="55"/>
      <c r="C110" s="45"/>
      <c r="D110" s="103">
        <v>0.60192000000000001</v>
      </c>
      <c r="E110" s="55" t="s">
        <v>102</v>
      </c>
      <c r="F110" s="40">
        <f t="shared" si="1"/>
        <v>0.60192000000000001</v>
      </c>
      <c r="G110" s="45"/>
      <c r="H110" s="58"/>
      <c r="I110" s="125" t="s">
        <v>102</v>
      </c>
      <c r="J110" s="101">
        <f>0.49362</f>
        <v>0.49362</v>
      </c>
      <c r="K110" s="101">
        <f>0.1083</f>
        <v>0.10829999999999999</v>
      </c>
    </row>
    <row r="111" spans="1:11" ht="13.5" customHeight="1" x14ac:dyDescent="0.25">
      <c r="A111" s="274"/>
      <c r="B111" s="55"/>
      <c r="C111" s="45"/>
      <c r="D111" s="103">
        <f>1.14+0.2048</f>
        <v>1.3448</v>
      </c>
      <c r="E111" s="55" t="s">
        <v>103</v>
      </c>
      <c r="F111" s="40">
        <f t="shared" si="1"/>
        <v>1.3448</v>
      </c>
      <c r="G111" s="45"/>
      <c r="H111" s="58"/>
      <c r="I111" s="125" t="s">
        <v>103</v>
      </c>
      <c r="J111" s="101">
        <f>0.70412</f>
        <v>0.70411999999999997</v>
      </c>
      <c r="K111" s="101">
        <f>0.64068</f>
        <v>0.64068000000000003</v>
      </c>
    </row>
    <row r="112" spans="1:11" ht="15.75" x14ac:dyDescent="0.25">
      <c r="A112" s="274"/>
      <c r="B112" s="55"/>
      <c r="C112" s="45"/>
      <c r="D112" s="103">
        <v>0.46200000000000002</v>
      </c>
      <c r="E112" s="55" t="s">
        <v>106</v>
      </c>
      <c r="F112" s="40">
        <f t="shared" si="1"/>
        <v>0.46200000000000002</v>
      </c>
      <c r="G112" s="45"/>
      <c r="H112" s="58"/>
      <c r="I112" s="125" t="s">
        <v>106</v>
      </c>
      <c r="J112" s="101">
        <f>0.0462</f>
        <v>4.6199999999999998E-2</v>
      </c>
      <c r="K112" s="101">
        <f>0.4158</f>
        <v>0.4158</v>
      </c>
    </row>
    <row r="113" spans="1:11" ht="45" x14ac:dyDescent="0.25">
      <c r="A113" s="274"/>
      <c r="B113" s="60" t="s">
        <v>110</v>
      </c>
      <c r="C113" s="45"/>
      <c r="D113" s="104">
        <v>1.7</v>
      </c>
      <c r="E113" s="55" t="s">
        <v>114</v>
      </c>
      <c r="F113" s="40">
        <f t="shared" si="1"/>
        <v>1.7</v>
      </c>
      <c r="G113" s="45"/>
      <c r="H113" s="45"/>
      <c r="I113" s="125" t="s">
        <v>136</v>
      </c>
      <c r="J113" s="101">
        <v>0</v>
      </c>
      <c r="K113" s="104">
        <v>1.7</v>
      </c>
    </row>
    <row r="114" spans="1:11" ht="15.75" x14ac:dyDescent="0.25">
      <c r="A114" s="274"/>
      <c r="B114" s="60" t="s">
        <v>129</v>
      </c>
      <c r="C114" s="62">
        <v>14.691000000000001</v>
      </c>
      <c r="D114" s="104"/>
      <c r="E114" s="55"/>
      <c r="F114" s="40">
        <v>14.691000000000001</v>
      </c>
      <c r="G114" s="45"/>
      <c r="H114" s="45"/>
      <c r="I114" s="125"/>
      <c r="J114" s="101"/>
      <c r="K114" s="146">
        <v>14.691000000000001</v>
      </c>
    </row>
    <row r="115" spans="1:11" ht="120" x14ac:dyDescent="0.25">
      <c r="A115" s="275" t="s">
        <v>12</v>
      </c>
      <c r="B115" s="135" t="s">
        <v>129</v>
      </c>
      <c r="C115" s="181">
        <v>18.664999999999999</v>
      </c>
      <c r="D115" s="50"/>
      <c r="E115" s="136"/>
      <c r="F115" s="181">
        <f>C115</f>
        <v>18.664999999999999</v>
      </c>
      <c r="G115" s="144" t="s">
        <v>297</v>
      </c>
      <c r="H115" s="145"/>
      <c r="I115" s="145"/>
      <c r="J115" s="46"/>
      <c r="K115" s="135"/>
    </row>
    <row r="116" spans="1:11" ht="58.5" customHeight="1" x14ac:dyDescent="0.25">
      <c r="A116" s="275"/>
      <c r="B116" s="135"/>
      <c r="C116" s="135"/>
      <c r="D116" s="50"/>
      <c r="E116" s="136"/>
      <c r="F116" s="181"/>
      <c r="G116" s="136" t="s">
        <v>260</v>
      </c>
      <c r="H116" s="135">
        <v>17.73</v>
      </c>
      <c r="I116" s="145"/>
      <c r="J116" s="46"/>
      <c r="K116" s="135"/>
    </row>
    <row r="117" spans="1:11" ht="30" x14ac:dyDescent="0.25">
      <c r="A117" s="275"/>
      <c r="B117" s="135"/>
      <c r="C117" s="135"/>
      <c r="D117" s="50"/>
      <c r="E117" s="136"/>
      <c r="F117" s="181"/>
      <c r="G117" s="136" t="s">
        <v>261</v>
      </c>
      <c r="H117" s="135">
        <v>11.9</v>
      </c>
      <c r="I117" s="145"/>
      <c r="J117" s="46"/>
      <c r="K117" s="135"/>
    </row>
    <row r="118" spans="1:11" ht="30" x14ac:dyDescent="0.25">
      <c r="A118" s="275"/>
      <c r="B118" s="135"/>
      <c r="C118" s="135"/>
      <c r="D118" s="50"/>
      <c r="E118" s="136"/>
      <c r="F118" s="181"/>
      <c r="G118" s="136" t="s">
        <v>262</v>
      </c>
      <c r="H118" s="135">
        <f>4.5-0.774</f>
        <v>3.726</v>
      </c>
      <c r="I118" s="145"/>
      <c r="J118" s="46"/>
      <c r="K118" s="135"/>
    </row>
    <row r="119" spans="1:11" ht="57.75" x14ac:dyDescent="0.25">
      <c r="A119" s="275"/>
      <c r="B119" s="90" t="s">
        <v>138</v>
      </c>
      <c r="C119" s="178"/>
      <c r="D119" s="182">
        <v>13.105</v>
      </c>
      <c r="E119" s="13" t="s">
        <v>139</v>
      </c>
      <c r="F119" s="181">
        <f t="shared" ref="F119:F128" si="2">D119</f>
        <v>13.105</v>
      </c>
      <c r="G119" s="178"/>
      <c r="H119" s="178"/>
      <c r="I119" s="119" t="s">
        <v>139</v>
      </c>
      <c r="J119" s="101">
        <v>13.105</v>
      </c>
      <c r="K119" s="101">
        <v>0</v>
      </c>
    </row>
    <row r="120" spans="1:11" ht="30" x14ac:dyDescent="0.25">
      <c r="A120" s="275"/>
      <c r="B120" s="178"/>
      <c r="C120" s="178"/>
      <c r="D120" s="182">
        <v>1.5</v>
      </c>
      <c r="E120" s="179" t="s">
        <v>115</v>
      </c>
      <c r="F120" s="181">
        <f t="shared" si="2"/>
        <v>1.5</v>
      </c>
      <c r="G120" s="178"/>
      <c r="H120" s="178"/>
      <c r="I120" s="184" t="s">
        <v>115</v>
      </c>
      <c r="J120" s="182">
        <v>1.5</v>
      </c>
      <c r="K120" s="101">
        <v>0</v>
      </c>
    </row>
    <row r="121" spans="1:11" x14ac:dyDescent="0.25">
      <c r="A121" s="275"/>
      <c r="B121" s="178"/>
      <c r="C121" s="178"/>
      <c r="D121" s="182">
        <v>0.01</v>
      </c>
      <c r="E121" s="179" t="s">
        <v>140</v>
      </c>
      <c r="F121" s="86">
        <f t="shared" si="2"/>
        <v>0.01</v>
      </c>
      <c r="G121" s="178"/>
      <c r="H121" s="178"/>
      <c r="I121" s="184" t="s">
        <v>140</v>
      </c>
      <c r="J121" s="182">
        <v>0.01</v>
      </c>
      <c r="K121" s="101">
        <v>0</v>
      </c>
    </row>
    <row r="122" spans="1:11" ht="30" x14ac:dyDescent="0.25">
      <c r="A122" s="275"/>
      <c r="B122" s="178"/>
      <c r="C122" s="178"/>
      <c r="D122" s="182">
        <v>5.5E-2</v>
      </c>
      <c r="E122" s="179" t="s">
        <v>141</v>
      </c>
      <c r="F122" s="181">
        <f t="shared" si="2"/>
        <v>5.5E-2</v>
      </c>
      <c r="G122" s="178"/>
      <c r="H122" s="178"/>
      <c r="I122" s="184" t="s">
        <v>141</v>
      </c>
      <c r="J122" s="182">
        <v>5.5E-2</v>
      </c>
      <c r="K122" s="101">
        <v>0</v>
      </c>
    </row>
    <row r="123" spans="1:11" x14ac:dyDescent="0.25">
      <c r="A123" s="275"/>
      <c r="B123" s="178"/>
      <c r="C123" s="178"/>
      <c r="D123" s="182">
        <v>0.96</v>
      </c>
      <c r="E123" s="179" t="s">
        <v>41</v>
      </c>
      <c r="F123" s="181">
        <f t="shared" si="2"/>
        <v>0.96</v>
      </c>
      <c r="G123" s="178"/>
      <c r="H123" s="178"/>
      <c r="I123" s="184" t="s">
        <v>41</v>
      </c>
      <c r="J123" s="182">
        <v>0.96</v>
      </c>
      <c r="K123" s="101">
        <v>0</v>
      </c>
    </row>
    <row r="124" spans="1:11" x14ac:dyDescent="0.25">
      <c r="A124" s="275"/>
      <c r="B124" s="178"/>
      <c r="C124" s="178"/>
      <c r="D124" s="182">
        <v>0.96</v>
      </c>
      <c r="E124" s="179" t="s">
        <v>142</v>
      </c>
      <c r="F124" s="181">
        <f t="shared" si="2"/>
        <v>0.96</v>
      </c>
      <c r="G124" s="178"/>
      <c r="H124" s="178"/>
      <c r="I124" s="184" t="s">
        <v>142</v>
      </c>
      <c r="J124" s="182">
        <v>0.96</v>
      </c>
      <c r="K124" s="101">
        <v>0</v>
      </c>
    </row>
    <row r="125" spans="1:11" ht="30" x14ac:dyDescent="0.25">
      <c r="A125" s="275"/>
      <c r="B125" s="178"/>
      <c r="C125" s="178"/>
      <c r="D125" s="182">
        <v>1.75</v>
      </c>
      <c r="E125" s="179" t="s">
        <v>44</v>
      </c>
      <c r="F125" s="181">
        <f t="shared" si="2"/>
        <v>1.75</v>
      </c>
      <c r="G125" s="178"/>
      <c r="H125" s="178"/>
      <c r="I125" s="184" t="s">
        <v>44</v>
      </c>
      <c r="J125" s="182">
        <v>1.75</v>
      </c>
      <c r="K125" s="101">
        <v>0</v>
      </c>
    </row>
    <row r="126" spans="1:11" ht="56.25" x14ac:dyDescent="0.3">
      <c r="A126" s="275"/>
      <c r="B126" s="52" t="s">
        <v>45</v>
      </c>
      <c r="C126" s="178"/>
      <c r="D126" s="182">
        <v>26.299499999999998</v>
      </c>
      <c r="E126" s="55" t="s">
        <v>143</v>
      </c>
      <c r="F126" s="181">
        <f t="shared" si="2"/>
        <v>26.299499999999998</v>
      </c>
      <c r="G126" s="178"/>
      <c r="H126" s="178"/>
      <c r="I126" s="125" t="s">
        <v>143</v>
      </c>
      <c r="J126" s="182">
        <v>26.299499999999998</v>
      </c>
      <c r="K126" s="101">
        <v>0</v>
      </c>
    </row>
    <row r="127" spans="1:11" ht="30" x14ac:dyDescent="0.25">
      <c r="A127" s="275"/>
      <c r="B127" s="91" t="s">
        <v>22</v>
      </c>
      <c r="C127" s="178"/>
      <c r="D127" s="182">
        <v>21.8</v>
      </c>
      <c r="E127" s="13" t="s">
        <v>139</v>
      </c>
      <c r="F127" s="181">
        <f t="shared" si="2"/>
        <v>21.8</v>
      </c>
      <c r="G127" s="178"/>
      <c r="H127" s="178"/>
      <c r="I127" s="119" t="s">
        <v>139</v>
      </c>
      <c r="J127" s="182">
        <v>21.8</v>
      </c>
      <c r="K127" s="101">
        <v>0</v>
      </c>
    </row>
    <row r="128" spans="1:11" x14ac:dyDescent="0.25">
      <c r="A128" s="275"/>
      <c r="B128" s="178"/>
      <c r="C128" s="178"/>
      <c r="D128" s="182">
        <f>0.28+0.14</f>
        <v>0.42000000000000004</v>
      </c>
      <c r="E128" s="179" t="s">
        <v>24</v>
      </c>
      <c r="F128" s="181">
        <f t="shared" si="2"/>
        <v>0.42000000000000004</v>
      </c>
      <c r="G128" s="178"/>
      <c r="H128" s="178"/>
      <c r="I128" s="184" t="s">
        <v>24</v>
      </c>
      <c r="J128" s="182">
        <f>0.28+0.14</f>
        <v>0.42000000000000004</v>
      </c>
      <c r="K128" s="101">
        <v>0</v>
      </c>
    </row>
    <row r="129" spans="1:11" ht="30" x14ac:dyDescent="0.25">
      <c r="A129" s="275"/>
      <c r="B129" s="178"/>
      <c r="C129" s="178"/>
      <c r="D129" s="182">
        <v>0.3</v>
      </c>
      <c r="E129" s="179" t="s">
        <v>144</v>
      </c>
      <c r="F129" s="181">
        <v>0.3</v>
      </c>
      <c r="G129" s="178"/>
      <c r="H129" s="178"/>
      <c r="I129" s="184" t="s">
        <v>144</v>
      </c>
      <c r="J129" s="182">
        <v>0.3</v>
      </c>
      <c r="K129" s="101">
        <v>0</v>
      </c>
    </row>
    <row r="130" spans="1:11" x14ac:dyDescent="0.25">
      <c r="A130" s="275"/>
      <c r="B130" s="178"/>
      <c r="C130" s="178"/>
      <c r="D130" s="182">
        <v>0.57999999999999996</v>
      </c>
      <c r="E130" s="179" t="s">
        <v>145</v>
      </c>
      <c r="F130" s="181">
        <f t="shared" ref="F130:F137" si="3">D130</f>
        <v>0.57999999999999996</v>
      </c>
      <c r="G130" s="178"/>
      <c r="H130" s="178"/>
      <c r="I130" s="184" t="s">
        <v>145</v>
      </c>
      <c r="J130" s="182">
        <v>0.57999999999999996</v>
      </c>
      <c r="K130" s="101">
        <v>0</v>
      </c>
    </row>
    <row r="131" spans="1:11" ht="30" x14ac:dyDescent="0.25">
      <c r="A131" s="275"/>
      <c r="B131" s="178"/>
      <c r="C131" s="178"/>
      <c r="D131" s="182">
        <v>0.28999999999999998</v>
      </c>
      <c r="E131" s="179" t="s">
        <v>147</v>
      </c>
      <c r="F131" s="181">
        <f t="shared" si="3"/>
        <v>0.28999999999999998</v>
      </c>
      <c r="G131" s="178"/>
      <c r="H131" s="178"/>
      <c r="I131" s="184" t="s">
        <v>147</v>
      </c>
      <c r="J131" s="182">
        <v>0.28999999999999998</v>
      </c>
      <c r="K131" s="101">
        <v>0</v>
      </c>
    </row>
    <row r="132" spans="1:11" x14ac:dyDescent="0.25">
      <c r="A132" s="275"/>
      <c r="B132" s="178"/>
      <c r="C132" s="178"/>
      <c r="D132" s="182">
        <v>0.56999999999999995</v>
      </c>
      <c r="E132" s="179" t="s">
        <v>146</v>
      </c>
      <c r="F132" s="181">
        <f t="shared" si="3"/>
        <v>0.56999999999999995</v>
      </c>
      <c r="G132" s="178"/>
      <c r="H132" s="178"/>
      <c r="I132" s="184" t="s">
        <v>146</v>
      </c>
      <c r="J132" s="182">
        <v>0.56999999999999995</v>
      </c>
      <c r="K132" s="101">
        <v>0</v>
      </c>
    </row>
    <row r="133" spans="1:11" ht="30" x14ac:dyDescent="0.25">
      <c r="A133" s="275"/>
      <c r="B133" s="178"/>
      <c r="C133" s="178"/>
      <c r="D133" s="182">
        <v>1.3</v>
      </c>
      <c r="E133" s="179" t="s">
        <v>42</v>
      </c>
      <c r="F133" s="181">
        <f t="shared" si="3"/>
        <v>1.3</v>
      </c>
      <c r="G133" s="178"/>
      <c r="H133" s="178"/>
      <c r="I133" s="184" t="s">
        <v>42</v>
      </c>
      <c r="J133" s="182">
        <v>1.3</v>
      </c>
      <c r="K133" s="101">
        <v>0</v>
      </c>
    </row>
    <row r="134" spans="1:11" x14ac:dyDescent="0.25">
      <c r="A134" s="275"/>
      <c r="B134" s="178"/>
      <c r="C134" s="178"/>
      <c r="D134" s="182">
        <v>0.50800000000000001</v>
      </c>
      <c r="E134" s="179" t="s">
        <v>142</v>
      </c>
      <c r="F134" s="181">
        <f t="shared" si="3"/>
        <v>0.50800000000000001</v>
      </c>
      <c r="G134" s="178"/>
      <c r="H134" s="178"/>
      <c r="I134" s="184" t="s">
        <v>142</v>
      </c>
      <c r="J134" s="182">
        <v>0.50800000000000001</v>
      </c>
      <c r="K134" s="101">
        <v>0</v>
      </c>
    </row>
    <row r="135" spans="1:11" x14ac:dyDescent="0.25">
      <c r="A135" s="275"/>
      <c r="B135" s="178"/>
      <c r="C135" s="178"/>
      <c r="D135" s="182">
        <v>0.56999999999999995</v>
      </c>
      <c r="E135" s="179" t="s">
        <v>142</v>
      </c>
      <c r="F135" s="181">
        <f t="shared" si="3"/>
        <v>0.56999999999999995</v>
      </c>
      <c r="G135" s="178"/>
      <c r="H135" s="178"/>
      <c r="I135" s="184" t="s">
        <v>142</v>
      </c>
      <c r="J135" s="182">
        <v>0.56999999999999995</v>
      </c>
      <c r="K135" s="101">
        <v>0</v>
      </c>
    </row>
    <row r="136" spans="1:11" ht="30" x14ac:dyDescent="0.25">
      <c r="A136" s="275"/>
      <c r="B136" s="178"/>
      <c r="C136" s="178"/>
      <c r="D136" s="182">
        <f>2.328</f>
        <v>2.3279999999999998</v>
      </c>
      <c r="E136" s="179" t="s">
        <v>44</v>
      </c>
      <c r="F136" s="181">
        <f t="shared" si="3"/>
        <v>2.3279999999999998</v>
      </c>
      <c r="G136" s="178"/>
      <c r="H136" s="178"/>
      <c r="I136" s="184" t="s">
        <v>44</v>
      </c>
      <c r="J136" s="182">
        <f>2.328</f>
        <v>2.3279999999999998</v>
      </c>
      <c r="K136" s="101">
        <v>0</v>
      </c>
    </row>
    <row r="137" spans="1:11" ht="75" x14ac:dyDescent="0.3">
      <c r="A137" s="275"/>
      <c r="B137" s="52" t="s">
        <v>47</v>
      </c>
      <c r="C137" s="178"/>
      <c r="D137" s="182">
        <f>4.23046+2.83935</f>
        <v>7.0698100000000004</v>
      </c>
      <c r="E137" s="179" t="s">
        <v>148</v>
      </c>
      <c r="F137" s="181">
        <f t="shared" si="3"/>
        <v>7.0698100000000004</v>
      </c>
      <c r="G137" s="178"/>
      <c r="H137" s="178"/>
      <c r="I137" s="184" t="s">
        <v>148</v>
      </c>
      <c r="J137" s="182">
        <f>2.83935+2.96132</f>
        <v>5.8006700000000002</v>
      </c>
      <c r="K137" s="182">
        <v>1.2691399999999999</v>
      </c>
    </row>
    <row r="138" spans="1:11" x14ac:dyDescent="0.25">
      <c r="A138" s="275"/>
      <c r="B138" s="178"/>
      <c r="C138" s="178"/>
      <c r="D138" s="101">
        <f>4.23624+5.65302</f>
        <v>9.8892600000000002</v>
      </c>
      <c r="E138" s="179" t="s">
        <v>51</v>
      </c>
      <c r="F138" s="181">
        <f>4.23624+5.65302</f>
        <v>9.8892600000000002</v>
      </c>
      <c r="G138" s="178"/>
      <c r="H138" s="178"/>
      <c r="I138" s="184" t="s">
        <v>51</v>
      </c>
      <c r="J138" s="182">
        <f>2.25933+4.23976</f>
        <v>6.4990900000000007</v>
      </c>
      <c r="K138" s="101">
        <f>1.97691+1.41326</f>
        <v>3.3901699999999999</v>
      </c>
    </row>
    <row r="139" spans="1:11" x14ac:dyDescent="0.25">
      <c r="A139" s="275"/>
      <c r="B139" s="178"/>
      <c r="C139" s="178"/>
      <c r="D139" s="182">
        <f>0.07477+0.06414</f>
        <v>0.13891000000000001</v>
      </c>
      <c r="E139" s="179" t="s">
        <v>149</v>
      </c>
      <c r="F139" s="181">
        <f t="shared" ref="F139:F159" si="4">D139</f>
        <v>0.13891000000000001</v>
      </c>
      <c r="G139" s="178"/>
      <c r="H139" s="178"/>
      <c r="I139" s="184" t="s">
        <v>149</v>
      </c>
      <c r="J139" s="182">
        <v>7.4770000000000003E-2</v>
      </c>
      <c r="K139" s="101">
        <f>0.064</f>
        <v>6.4000000000000001E-2</v>
      </c>
    </row>
    <row r="140" spans="1:11" x14ac:dyDescent="0.25">
      <c r="A140" s="275"/>
      <c r="B140" s="178"/>
      <c r="C140" s="178"/>
      <c r="D140" s="182">
        <v>1.917E-2</v>
      </c>
      <c r="E140" s="179" t="s">
        <v>150</v>
      </c>
      <c r="F140" s="181">
        <f t="shared" si="4"/>
        <v>1.917E-2</v>
      </c>
      <c r="G140" s="178"/>
      <c r="H140" s="178"/>
      <c r="I140" s="184" t="s">
        <v>150</v>
      </c>
      <c r="J140" s="182">
        <v>1.917E-2</v>
      </c>
      <c r="K140" s="101">
        <v>0</v>
      </c>
    </row>
    <row r="141" spans="1:11" x14ac:dyDescent="0.25">
      <c r="A141" s="275"/>
      <c r="B141" s="178"/>
      <c r="C141" s="178"/>
      <c r="D141" s="182">
        <v>0.1</v>
      </c>
      <c r="E141" s="179" t="s">
        <v>151</v>
      </c>
      <c r="F141" s="181">
        <f t="shared" si="4"/>
        <v>0.1</v>
      </c>
      <c r="G141" s="178"/>
      <c r="H141" s="178"/>
      <c r="I141" s="184" t="s">
        <v>151</v>
      </c>
      <c r="J141" s="182">
        <v>4.7E-2</v>
      </c>
      <c r="K141" s="101">
        <v>5.2999999999999999E-2</v>
      </c>
    </row>
    <row r="142" spans="1:11" x14ac:dyDescent="0.25">
      <c r="A142" s="275"/>
      <c r="B142" s="178"/>
      <c r="C142" s="178"/>
      <c r="D142" s="182">
        <v>0.11984</v>
      </c>
      <c r="E142" s="179" t="s">
        <v>152</v>
      </c>
      <c r="F142" s="181">
        <f t="shared" si="4"/>
        <v>0.11984</v>
      </c>
      <c r="G142" s="178"/>
      <c r="H142" s="178"/>
      <c r="I142" s="184" t="s">
        <v>152</v>
      </c>
      <c r="J142" s="182">
        <v>0.11984</v>
      </c>
      <c r="K142" s="101">
        <v>0</v>
      </c>
    </row>
    <row r="143" spans="1:11" x14ac:dyDescent="0.25">
      <c r="A143" s="275"/>
      <c r="B143" s="178"/>
      <c r="C143" s="178"/>
      <c r="D143" s="182">
        <v>2.5046599999999999</v>
      </c>
      <c r="E143" s="179" t="s">
        <v>153</v>
      </c>
      <c r="F143" s="181">
        <f t="shared" si="4"/>
        <v>2.5046599999999999</v>
      </c>
      <c r="G143" s="178"/>
      <c r="H143" s="178"/>
      <c r="I143" s="184" t="s">
        <v>153</v>
      </c>
      <c r="J143" s="182">
        <v>2.5046599999999999</v>
      </c>
      <c r="K143" s="101">
        <v>0</v>
      </c>
    </row>
    <row r="144" spans="1:11" x14ac:dyDescent="0.25">
      <c r="A144" s="275"/>
      <c r="B144" s="178"/>
      <c r="C144" s="178"/>
      <c r="D144" s="182">
        <v>1.028</v>
      </c>
      <c r="E144" s="179" t="s">
        <v>108</v>
      </c>
      <c r="F144" s="181">
        <f t="shared" si="4"/>
        <v>1.028</v>
      </c>
      <c r="G144" s="178"/>
      <c r="H144" s="178"/>
      <c r="I144" s="184" t="s">
        <v>108</v>
      </c>
      <c r="J144" s="182">
        <v>0.89949999999999997</v>
      </c>
      <c r="K144" s="101">
        <v>0.1285</v>
      </c>
    </row>
    <row r="145" spans="1:11" x14ac:dyDescent="0.25">
      <c r="A145" s="275"/>
      <c r="B145" s="178"/>
      <c r="C145" s="178"/>
      <c r="D145" s="182">
        <v>2.7653799999999999</v>
      </c>
      <c r="E145" s="179" t="s">
        <v>58</v>
      </c>
      <c r="F145" s="181">
        <f t="shared" si="4"/>
        <v>2.7653799999999999</v>
      </c>
      <c r="G145" s="178"/>
      <c r="H145" s="178"/>
      <c r="I145" s="184" t="s">
        <v>58</v>
      </c>
      <c r="J145" s="182">
        <v>0</v>
      </c>
      <c r="K145" s="182">
        <v>2.7653799999999999</v>
      </c>
    </row>
    <row r="146" spans="1:11" x14ac:dyDescent="0.25">
      <c r="A146" s="275"/>
      <c r="B146" s="178"/>
      <c r="C146" s="178"/>
      <c r="D146" s="182">
        <v>4.1239999999999999E-2</v>
      </c>
      <c r="E146" s="179" t="s">
        <v>154</v>
      </c>
      <c r="F146" s="181">
        <f t="shared" si="4"/>
        <v>4.1239999999999999E-2</v>
      </c>
      <c r="G146" s="178"/>
      <c r="H146" s="178"/>
      <c r="I146" s="184" t="s">
        <v>154</v>
      </c>
      <c r="J146" s="182">
        <v>4.1239999999999999E-2</v>
      </c>
      <c r="K146" s="101">
        <v>0</v>
      </c>
    </row>
    <row r="147" spans="1:11" ht="30" x14ac:dyDescent="0.25">
      <c r="A147" s="275"/>
      <c r="B147" s="178"/>
      <c r="C147" s="178"/>
      <c r="D147" s="182">
        <f>0.30602+0.09416+0.30602+0.32956</f>
        <v>1.03576</v>
      </c>
      <c r="E147" s="179" t="s">
        <v>155</v>
      </c>
      <c r="F147" s="181">
        <f t="shared" si="4"/>
        <v>1.03576</v>
      </c>
      <c r="G147" s="178"/>
      <c r="H147" s="178"/>
      <c r="I147" s="184" t="s">
        <v>155</v>
      </c>
      <c r="J147" s="182">
        <f>0.30602+0.09416+0.30602+0.08239</f>
        <v>0.7885899999999999</v>
      </c>
      <c r="K147" s="101">
        <f>0.24717</f>
        <v>0.24717</v>
      </c>
    </row>
    <row r="148" spans="1:11" x14ac:dyDescent="0.25">
      <c r="A148" s="275"/>
      <c r="B148" s="178"/>
      <c r="C148" s="178"/>
      <c r="D148" s="182">
        <v>6.7140000000000005E-2</v>
      </c>
      <c r="E148" s="179" t="s">
        <v>156</v>
      </c>
      <c r="F148" s="181">
        <f t="shared" si="4"/>
        <v>6.7140000000000005E-2</v>
      </c>
      <c r="G148" s="178"/>
      <c r="H148" s="178"/>
      <c r="I148" s="184" t="s">
        <v>156</v>
      </c>
      <c r="J148" s="182">
        <v>2.6859999999999998E-2</v>
      </c>
      <c r="K148" s="182">
        <v>4.0280000000000003E-2</v>
      </c>
    </row>
    <row r="149" spans="1:11" x14ac:dyDescent="0.25">
      <c r="A149" s="275"/>
      <c r="B149" s="178"/>
      <c r="C149" s="178"/>
      <c r="D149" s="182">
        <f>0.07723+0.13428</f>
        <v>0.21151</v>
      </c>
      <c r="E149" s="179" t="s">
        <v>157</v>
      </c>
      <c r="F149" s="181">
        <f t="shared" si="4"/>
        <v>0.21151</v>
      </c>
      <c r="G149" s="178"/>
      <c r="H149" s="178"/>
      <c r="I149" s="184" t="s">
        <v>157</v>
      </c>
      <c r="J149" s="182">
        <f>0.07723+0.04028</f>
        <v>0.11751</v>
      </c>
      <c r="K149" s="101">
        <f>0.094</f>
        <v>9.4E-2</v>
      </c>
    </row>
    <row r="150" spans="1:11" x14ac:dyDescent="0.25">
      <c r="A150" s="275"/>
      <c r="B150" s="178"/>
      <c r="C150" s="178"/>
      <c r="D150" s="182">
        <f>0.0612+0.0306</f>
        <v>9.1799999999999993E-2</v>
      </c>
      <c r="E150" s="179" t="s">
        <v>109</v>
      </c>
      <c r="F150" s="181">
        <f t="shared" si="4"/>
        <v>9.1799999999999993E-2</v>
      </c>
      <c r="G150" s="178"/>
      <c r="H150" s="178"/>
      <c r="I150" s="184" t="s">
        <v>109</v>
      </c>
      <c r="J150" s="182">
        <f>0.0612+0.01836</f>
        <v>7.9559999999999992E-2</v>
      </c>
      <c r="K150" s="101">
        <f>0.01224</f>
        <v>1.2239999999999999E-2</v>
      </c>
    </row>
    <row r="151" spans="1:11" x14ac:dyDescent="0.25">
      <c r="A151" s="275"/>
      <c r="B151" s="178"/>
      <c r="C151" s="178"/>
      <c r="D151" s="182">
        <f>0.48657+0.51591</f>
        <v>1.00248</v>
      </c>
      <c r="E151" s="179" t="s">
        <v>158</v>
      </c>
      <c r="F151" s="181">
        <f t="shared" si="4"/>
        <v>1.00248</v>
      </c>
      <c r="G151" s="178"/>
      <c r="H151" s="178"/>
      <c r="I151" s="184" t="s">
        <v>158</v>
      </c>
      <c r="J151" s="182">
        <f>0.48657+0.51591</f>
        <v>1.00248</v>
      </c>
      <c r="K151" s="101">
        <v>0</v>
      </c>
    </row>
    <row r="152" spans="1:11" x14ac:dyDescent="0.25">
      <c r="A152" s="275"/>
      <c r="B152" s="178"/>
      <c r="C152" s="178"/>
      <c r="D152" s="182">
        <f>0.11055+0.75799</f>
        <v>0.86854000000000009</v>
      </c>
      <c r="E152" s="179" t="s">
        <v>159</v>
      </c>
      <c r="F152" s="181">
        <f t="shared" si="4"/>
        <v>0.86854000000000009</v>
      </c>
      <c r="G152" s="178"/>
      <c r="H152" s="178"/>
      <c r="I152" s="184" t="s">
        <v>159</v>
      </c>
      <c r="J152" s="182">
        <f>0.11055+0.75799</f>
        <v>0.86854000000000009</v>
      </c>
      <c r="K152" s="101">
        <v>0</v>
      </c>
    </row>
    <row r="153" spans="1:11" x14ac:dyDescent="0.25">
      <c r="A153" s="275"/>
      <c r="B153" s="178"/>
      <c r="C153" s="178"/>
      <c r="D153" s="182">
        <v>15.589130000000001</v>
      </c>
      <c r="E153" s="179" t="s">
        <v>160</v>
      </c>
      <c r="F153" s="181">
        <f t="shared" si="4"/>
        <v>15.589130000000001</v>
      </c>
      <c r="G153" s="178"/>
      <c r="H153" s="178"/>
      <c r="I153" s="184" t="s">
        <v>160</v>
      </c>
      <c r="J153" s="182">
        <v>14.03021</v>
      </c>
      <c r="K153" s="101">
        <v>1.5589200000000001</v>
      </c>
    </row>
    <row r="154" spans="1:11" x14ac:dyDescent="0.25">
      <c r="A154" s="275"/>
      <c r="B154" s="178"/>
      <c r="C154" s="178"/>
      <c r="D154" s="182">
        <f>0.01485+0.04455</f>
        <v>5.9400000000000001E-2</v>
      </c>
      <c r="E154" s="179" t="s">
        <v>62</v>
      </c>
      <c r="F154" s="181">
        <f t="shared" si="4"/>
        <v>5.9400000000000001E-2</v>
      </c>
      <c r="G154" s="178"/>
      <c r="H154" s="178"/>
      <c r="I154" s="184" t="s">
        <v>161</v>
      </c>
      <c r="J154" s="182">
        <f>0.01485+0.0104</f>
        <v>2.5250000000000002E-2</v>
      </c>
      <c r="K154" s="101">
        <v>3.415E-2</v>
      </c>
    </row>
    <row r="155" spans="1:11" x14ac:dyDescent="0.25">
      <c r="A155" s="275"/>
      <c r="B155" s="178"/>
      <c r="C155" s="178"/>
      <c r="D155" s="182">
        <v>0.69474999999999998</v>
      </c>
      <c r="E155" s="179" t="s">
        <v>63</v>
      </c>
      <c r="F155" s="181">
        <f t="shared" si="4"/>
        <v>0.69474999999999998</v>
      </c>
      <c r="G155" s="178"/>
      <c r="H155" s="178"/>
      <c r="I155" s="184" t="s">
        <v>63</v>
      </c>
      <c r="J155" s="182">
        <v>0.69474999999999998</v>
      </c>
      <c r="K155" s="101">
        <v>0</v>
      </c>
    </row>
    <row r="156" spans="1:11" x14ac:dyDescent="0.25">
      <c r="A156" s="275"/>
      <c r="B156" s="178"/>
      <c r="C156" s="178"/>
      <c r="D156" s="182">
        <f>0.05254+0.13134</f>
        <v>0.18388000000000002</v>
      </c>
      <c r="E156" s="179" t="s">
        <v>64</v>
      </c>
      <c r="F156" s="181">
        <f t="shared" si="4"/>
        <v>0.18388000000000002</v>
      </c>
      <c r="G156" s="178"/>
      <c r="H156" s="178"/>
      <c r="I156" s="184" t="s">
        <v>64</v>
      </c>
      <c r="J156" s="182">
        <f>0.05254+0.13134</f>
        <v>0.18388000000000002</v>
      </c>
      <c r="K156" s="101">
        <v>0</v>
      </c>
    </row>
    <row r="157" spans="1:11" x14ac:dyDescent="0.25">
      <c r="A157" s="275"/>
      <c r="B157" s="178"/>
      <c r="C157" s="178"/>
      <c r="D157" s="182">
        <v>1.8679999999999999E-2</v>
      </c>
      <c r="E157" s="179" t="s">
        <v>162</v>
      </c>
      <c r="F157" s="181">
        <f t="shared" si="4"/>
        <v>1.8679999999999999E-2</v>
      </c>
      <c r="G157" s="178"/>
      <c r="H157" s="178"/>
      <c r="I157" s="184" t="s">
        <v>162</v>
      </c>
      <c r="J157" s="182">
        <v>0</v>
      </c>
      <c r="K157" s="101">
        <v>1.8679999999999999E-2</v>
      </c>
    </row>
    <row r="158" spans="1:11" x14ac:dyDescent="0.25">
      <c r="A158" s="275"/>
      <c r="B158" s="178"/>
      <c r="C158" s="178"/>
      <c r="D158" s="182">
        <v>0.88500000000000001</v>
      </c>
      <c r="E158" s="179" t="s">
        <v>163</v>
      </c>
      <c r="F158" s="181">
        <f t="shared" si="4"/>
        <v>0.88500000000000001</v>
      </c>
      <c r="G158" s="178"/>
      <c r="H158" s="178"/>
      <c r="I158" s="184" t="s">
        <v>163</v>
      </c>
      <c r="J158" s="182">
        <v>0.88500000000000001</v>
      </c>
      <c r="K158" s="101">
        <v>0</v>
      </c>
    </row>
    <row r="159" spans="1:11" x14ac:dyDescent="0.25">
      <c r="A159" s="275"/>
      <c r="B159" s="178"/>
      <c r="C159" s="178"/>
      <c r="D159" s="182">
        <v>0.1095</v>
      </c>
      <c r="E159" s="179" t="s">
        <v>164</v>
      </c>
      <c r="F159" s="181">
        <f t="shared" si="4"/>
        <v>0.1095</v>
      </c>
      <c r="G159" s="178"/>
      <c r="H159" s="178"/>
      <c r="I159" s="184" t="s">
        <v>164</v>
      </c>
      <c r="J159" s="182">
        <v>6.5699999999999995E-2</v>
      </c>
      <c r="K159" s="101">
        <v>4.3799999999999999E-2</v>
      </c>
    </row>
    <row r="160" spans="1:11" x14ac:dyDescent="0.25">
      <c r="A160" s="275"/>
      <c r="B160" s="178"/>
      <c r="C160" s="178"/>
      <c r="D160" s="182">
        <f>0.54236</f>
        <v>0.54235999999999995</v>
      </c>
      <c r="E160" s="179" t="s">
        <v>165</v>
      </c>
      <c r="F160" s="181">
        <v>0.54235999999999995</v>
      </c>
      <c r="G160" s="178"/>
      <c r="H160" s="178"/>
      <c r="I160" s="184" t="s">
        <v>165</v>
      </c>
      <c r="J160" s="182">
        <v>0.32768000000000003</v>
      </c>
      <c r="K160" s="101">
        <v>0.21468000000000001</v>
      </c>
    </row>
    <row r="161" spans="1:11" x14ac:dyDescent="0.25">
      <c r="A161" s="275"/>
      <c r="B161" s="178"/>
      <c r="C161" s="178"/>
      <c r="D161" s="182">
        <v>0.32250000000000001</v>
      </c>
      <c r="E161" s="179" t="s">
        <v>166</v>
      </c>
      <c r="F161" s="181">
        <f t="shared" ref="F161:F186" si="5">D161</f>
        <v>0.32250000000000001</v>
      </c>
      <c r="G161" s="178"/>
      <c r="H161" s="178"/>
      <c r="I161" s="184" t="s">
        <v>166</v>
      </c>
      <c r="J161" s="101">
        <v>0.32250000000000001</v>
      </c>
      <c r="K161" s="101">
        <v>0</v>
      </c>
    </row>
    <row r="162" spans="1:11" x14ac:dyDescent="0.25">
      <c r="A162" s="275"/>
      <c r="B162" s="178"/>
      <c r="C162" s="178"/>
      <c r="D162" s="182">
        <f>0.72866+0.58294</f>
        <v>1.3115999999999999</v>
      </c>
      <c r="E162" s="179" t="s">
        <v>69</v>
      </c>
      <c r="F162" s="181">
        <f t="shared" si="5"/>
        <v>1.3115999999999999</v>
      </c>
      <c r="G162" s="178"/>
      <c r="H162" s="178"/>
      <c r="I162" s="184" t="s">
        <v>69</v>
      </c>
      <c r="J162" s="182">
        <f>0.72866+0.32255</f>
        <v>1.05121</v>
      </c>
      <c r="K162" s="101">
        <v>0.26039000000000001</v>
      </c>
    </row>
    <row r="163" spans="1:11" x14ac:dyDescent="0.25">
      <c r="A163" s="275"/>
      <c r="B163" s="178"/>
      <c r="C163" s="178"/>
      <c r="D163" s="182">
        <v>0.21185999999999999</v>
      </c>
      <c r="E163" s="179" t="s">
        <v>167</v>
      </c>
      <c r="F163" s="181">
        <f t="shared" si="5"/>
        <v>0.21185999999999999</v>
      </c>
      <c r="G163" s="178"/>
      <c r="H163" s="178"/>
      <c r="I163" s="184" t="s">
        <v>167</v>
      </c>
      <c r="J163" s="182">
        <v>0.21185999999999999</v>
      </c>
      <c r="K163" s="101">
        <v>0</v>
      </c>
    </row>
    <row r="164" spans="1:11" ht="30" x14ac:dyDescent="0.25">
      <c r="A164" s="275"/>
      <c r="B164" s="178"/>
      <c r="C164" s="178"/>
      <c r="D164" s="182">
        <v>0.24890000000000001</v>
      </c>
      <c r="E164" s="179" t="s">
        <v>168</v>
      </c>
      <c r="F164" s="181">
        <f t="shared" si="5"/>
        <v>0.24890000000000001</v>
      </c>
      <c r="G164" s="178"/>
      <c r="H164" s="178"/>
      <c r="I164" s="184" t="s">
        <v>168</v>
      </c>
      <c r="J164" s="182">
        <v>0</v>
      </c>
      <c r="K164" s="101">
        <v>0.24890000000000001</v>
      </c>
    </row>
    <row r="165" spans="1:11" x14ac:dyDescent="0.25">
      <c r="A165" s="275"/>
      <c r="B165" s="178"/>
      <c r="C165" s="178"/>
      <c r="D165" s="182">
        <v>0.75600000000000001</v>
      </c>
      <c r="E165" s="179" t="s">
        <v>70</v>
      </c>
      <c r="F165" s="181">
        <f t="shared" si="5"/>
        <v>0.75600000000000001</v>
      </c>
      <c r="G165" s="178"/>
      <c r="H165" s="178"/>
      <c r="I165" s="184" t="s">
        <v>70</v>
      </c>
      <c r="J165" s="182">
        <v>0.75600000000000001</v>
      </c>
      <c r="K165" s="101">
        <v>0</v>
      </c>
    </row>
    <row r="166" spans="1:11" ht="30" x14ac:dyDescent="0.25">
      <c r="A166" s="275"/>
      <c r="B166" s="178"/>
      <c r="C166" s="178"/>
      <c r="D166" s="182">
        <v>0.21801999999999999</v>
      </c>
      <c r="E166" s="179" t="s">
        <v>169</v>
      </c>
      <c r="F166" s="181">
        <f t="shared" si="5"/>
        <v>0.21801999999999999</v>
      </c>
      <c r="G166" s="178"/>
      <c r="H166" s="178"/>
      <c r="I166" s="184" t="s">
        <v>169</v>
      </c>
      <c r="J166" s="182">
        <v>6.5409999999999996E-2</v>
      </c>
      <c r="K166" s="101">
        <v>0.15261</v>
      </c>
    </row>
    <row r="167" spans="1:11" ht="30" x14ac:dyDescent="0.25">
      <c r="A167" s="275"/>
      <c r="B167" s="178"/>
      <c r="C167" s="178"/>
      <c r="D167" s="182">
        <v>2.34572</v>
      </c>
      <c r="E167" s="179" t="s">
        <v>170</v>
      </c>
      <c r="F167" s="181">
        <f t="shared" si="5"/>
        <v>2.34572</v>
      </c>
      <c r="G167" s="178"/>
      <c r="H167" s="178"/>
      <c r="I167" s="184" t="s">
        <v>170</v>
      </c>
      <c r="J167" s="182">
        <v>1.17286</v>
      </c>
      <c r="K167" s="101">
        <v>1.17286</v>
      </c>
    </row>
    <row r="168" spans="1:11" x14ac:dyDescent="0.25">
      <c r="A168" s="275"/>
      <c r="B168" s="178"/>
      <c r="C168" s="178"/>
      <c r="D168" s="182">
        <v>5.6599999999999998E-2</v>
      </c>
      <c r="E168" s="179" t="s">
        <v>171</v>
      </c>
      <c r="F168" s="181">
        <f t="shared" si="5"/>
        <v>5.6599999999999998E-2</v>
      </c>
      <c r="G168" s="178"/>
      <c r="H168" s="178"/>
      <c r="I168" s="184" t="s">
        <v>171</v>
      </c>
      <c r="J168" s="182">
        <f>D168</f>
        <v>5.6599999999999998E-2</v>
      </c>
      <c r="K168" s="101">
        <v>0</v>
      </c>
    </row>
    <row r="169" spans="1:11" x14ac:dyDescent="0.25">
      <c r="A169" s="275"/>
      <c r="B169" s="178"/>
      <c r="C169" s="178"/>
      <c r="D169" s="182">
        <f>3.61574+0.80357+0.7062</f>
        <v>5.1255100000000002</v>
      </c>
      <c r="E169" s="179" t="s">
        <v>172</v>
      </c>
      <c r="F169" s="93">
        <f t="shared" si="5"/>
        <v>5.1255100000000002</v>
      </c>
      <c r="G169" s="178"/>
      <c r="H169" s="178"/>
      <c r="I169" s="184" t="s">
        <v>172</v>
      </c>
      <c r="J169" s="182">
        <v>5.1260000000000003</v>
      </c>
      <c r="K169" s="182">
        <v>0</v>
      </c>
    </row>
    <row r="170" spans="1:11" x14ac:dyDescent="0.25">
      <c r="A170" s="275"/>
      <c r="B170" s="178"/>
      <c r="C170" s="178"/>
      <c r="D170" s="182">
        <v>0.84545999999999999</v>
      </c>
      <c r="E170" s="178" t="s">
        <v>173</v>
      </c>
      <c r="F170" s="93">
        <f t="shared" si="5"/>
        <v>0.84545999999999999</v>
      </c>
      <c r="G170" s="178"/>
      <c r="H170" s="178"/>
      <c r="I170" s="185" t="s">
        <v>173</v>
      </c>
      <c r="J170" s="182">
        <v>0.84545999999999999</v>
      </c>
      <c r="K170" s="182">
        <v>0</v>
      </c>
    </row>
    <row r="171" spans="1:11" x14ac:dyDescent="0.25">
      <c r="A171" s="275"/>
      <c r="B171" s="178"/>
      <c r="C171" s="178"/>
      <c r="D171" s="182">
        <v>6.0389999999999999E-2</v>
      </c>
      <c r="E171" s="178" t="s">
        <v>174</v>
      </c>
      <c r="F171" s="93">
        <f t="shared" si="5"/>
        <v>6.0389999999999999E-2</v>
      </c>
      <c r="G171" s="178"/>
      <c r="H171" s="178"/>
      <c r="I171" s="185" t="s">
        <v>174</v>
      </c>
      <c r="J171" s="182">
        <v>6.0389999999999999E-2</v>
      </c>
      <c r="K171" s="182">
        <v>0</v>
      </c>
    </row>
    <row r="172" spans="1:11" x14ac:dyDescent="0.25">
      <c r="A172" s="275"/>
      <c r="B172" s="178"/>
      <c r="C172" s="178"/>
      <c r="D172" s="182">
        <v>13.696730000000001</v>
      </c>
      <c r="E172" s="178" t="s">
        <v>77</v>
      </c>
      <c r="F172" s="93">
        <f t="shared" si="5"/>
        <v>13.696730000000001</v>
      </c>
      <c r="G172" s="178"/>
      <c r="H172" s="178"/>
      <c r="I172" s="185" t="s">
        <v>77</v>
      </c>
      <c r="J172" s="182">
        <v>13.13743</v>
      </c>
      <c r="K172" s="182">
        <v>0.55930000000000002</v>
      </c>
    </row>
    <row r="173" spans="1:11" ht="30" x14ac:dyDescent="0.25">
      <c r="A173" s="275"/>
      <c r="B173" s="178"/>
      <c r="C173" s="178"/>
      <c r="D173" s="182">
        <v>0.45902999999999999</v>
      </c>
      <c r="E173" s="179" t="s">
        <v>175</v>
      </c>
      <c r="F173" s="93">
        <f t="shared" si="5"/>
        <v>0.45902999999999999</v>
      </c>
      <c r="G173" s="178"/>
      <c r="H173" s="178"/>
      <c r="I173" s="184" t="s">
        <v>175</v>
      </c>
      <c r="J173" s="182">
        <v>0.35310000000000002</v>
      </c>
      <c r="K173" s="182">
        <v>0.10593</v>
      </c>
    </row>
    <row r="174" spans="1:11" ht="30" x14ac:dyDescent="0.25">
      <c r="A174" s="275"/>
      <c r="B174" s="178"/>
      <c r="C174" s="178"/>
      <c r="D174" s="182">
        <f>0.07918+0.07918+0.07233</f>
        <v>0.23069000000000001</v>
      </c>
      <c r="E174" s="179" t="s">
        <v>176</v>
      </c>
      <c r="F174" s="93">
        <f t="shared" si="5"/>
        <v>0.23069000000000001</v>
      </c>
      <c r="G174" s="178"/>
      <c r="H174" s="178"/>
      <c r="I174" s="184" t="s">
        <v>176</v>
      </c>
      <c r="J174" s="182">
        <v>0.18184</v>
      </c>
      <c r="K174" s="182">
        <v>4.8849999999999998E-2</v>
      </c>
    </row>
    <row r="175" spans="1:11" ht="30" x14ac:dyDescent="0.25">
      <c r="A175" s="275"/>
      <c r="B175" s="178"/>
      <c r="C175" s="178"/>
      <c r="D175" s="182">
        <v>5.2639999999999999E-2</v>
      </c>
      <c r="E175" s="179" t="s">
        <v>177</v>
      </c>
      <c r="F175" s="93">
        <f t="shared" si="5"/>
        <v>5.2639999999999999E-2</v>
      </c>
      <c r="G175" s="178"/>
      <c r="H175" s="178"/>
      <c r="I175" s="184" t="s">
        <v>177</v>
      </c>
      <c r="J175" s="182">
        <v>5.2639999999999999E-2</v>
      </c>
      <c r="K175" s="182">
        <v>0</v>
      </c>
    </row>
    <row r="176" spans="1:11" x14ac:dyDescent="0.25">
      <c r="A176" s="275"/>
      <c r="B176" s="178"/>
      <c r="C176" s="178"/>
      <c r="D176" s="182">
        <v>0.20127</v>
      </c>
      <c r="E176" s="178" t="s">
        <v>178</v>
      </c>
      <c r="F176" s="93">
        <f t="shared" si="5"/>
        <v>0.20127</v>
      </c>
      <c r="G176" s="178"/>
      <c r="H176" s="178"/>
      <c r="I176" s="185" t="s">
        <v>178</v>
      </c>
      <c r="J176" s="182">
        <v>0.20127</v>
      </c>
      <c r="K176" s="182">
        <v>0</v>
      </c>
    </row>
    <row r="177" spans="1:11" x14ac:dyDescent="0.25">
      <c r="A177" s="275"/>
      <c r="B177" s="178"/>
      <c r="C177" s="178"/>
      <c r="D177" s="182">
        <v>0.21929999999999999</v>
      </c>
      <c r="E177" s="178" t="s">
        <v>179</v>
      </c>
      <c r="F177" s="93">
        <f t="shared" si="5"/>
        <v>0.21929999999999999</v>
      </c>
      <c r="G177" s="178"/>
      <c r="H177" s="178"/>
      <c r="I177" s="185" t="s">
        <v>179</v>
      </c>
      <c r="J177" s="182">
        <v>0.11609999999999999</v>
      </c>
      <c r="K177" s="182">
        <v>0.1032</v>
      </c>
    </row>
    <row r="178" spans="1:11" x14ac:dyDescent="0.25">
      <c r="A178" s="275"/>
      <c r="B178" s="178"/>
      <c r="C178" s="178"/>
      <c r="D178" s="182">
        <f>0.222+1.4589</f>
        <v>1.6809000000000001</v>
      </c>
      <c r="E178" s="178" t="s">
        <v>180</v>
      </c>
      <c r="F178" s="93">
        <f t="shared" si="5"/>
        <v>1.6809000000000001</v>
      </c>
      <c r="G178" s="178"/>
      <c r="H178" s="178"/>
      <c r="I178" s="185" t="s">
        <v>180</v>
      </c>
      <c r="J178" s="182">
        <v>1.1297600000000001</v>
      </c>
      <c r="K178" s="182">
        <v>0.55113999999999996</v>
      </c>
    </row>
    <row r="179" spans="1:11" x14ac:dyDescent="0.25">
      <c r="A179" s="275"/>
      <c r="B179" s="178"/>
      <c r="C179" s="178"/>
      <c r="D179" s="182">
        <v>0.2064</v>
      </c>
      <c r="E179" s="178" t="s">
        <v>181</v>
      </c>
      <c r="F179" s="93">
        <f t="shared" si="5"/>
        <v>0.2064</v>
      </c>
      <c r="G179" s="178"/>
      <c r="H179" s="178"/>
      <c r="I179" s="185" t="s">
        <v>181</v>
      </c>
      <c r="J179" s="182">
        <v>0.2064</v>
      </c>
      <c r="K179" s="182">
        <v>0</v>
      </c>
    </row>
    <row r="180" spans="1:11" x14ac:dyDescent="0.25">
      <c r="A180" s="275"/>
      <c r="B180" s="178"/>
      <c r="C180" s="178"/>
      <c r="D180" s="182">
        <v>10.098660000000001</v>
      </c>
      <c r="E180" s="178" t="s">
        <v>182</v>
      </c>
      <c r="F180" s="93">
        <f t="shared" si="5"/>
        <v>10.098660000000001</v>
      </c>
      <c r="G180" s="178"/>
      <c r="H180" s="178"/>
      <c r="I180" s="185" t="s">
        <v>182</v>
      </c>
      <c r="J180" s="182">
        <v>10.098660000000001</v>
      </c>
      <c r="K180" s="182">
        <v>0</v>
      </c>
    </row>
    <row r="181" spans="1:11" x14ac:dyDescent="0.25">
      <c r="A181" s="275"/>
      <c r="B181" s="178"/>
      <c r="C181" s="178"/>
      <c r="D181" s="182">
        <f>2.33046+8.70039</f>
        <v>11.030850000000001</v>
      </c>
      <c r="E181" s="178" t="s">
        <v>89</v>
      </c>
      <c r="F181" s="93">
        <f t="shared" si="5"/>
        <v>11.030850000000001</v>
      </c>
      <c r="G181" s="178"/>
      <c r="H181" s="178"/>
      <c r="I181" s="185" t="s">
        <v>89</v>
      </c>
      <c r="J181" s="182">
        <v>9.6731499999999997</v>
      </c>
      <c r="K181" s="182">
        <v>1.3577900000000001</v>
      </c>
    </row>
    <row r="182" spans="1:11" ht="30" x14ac:dyDescent="0.25">
      <c r="A182" s="275"/>
      <c r="B182" s="178"/>
      <c r="C182" s="178"/>
      <c r="D182" s="182">
        <v>0.73028000000000004</v>
      </c>
      <c r="E182" s="179" t="s">
        <v>183</v>
      </c>
      <c r="F182" s="93">
        <f t="shared" si="5"/>
        <v>0.73028000000000004</v>
      </c>
      <c r="G182" s="178"/>
      <c r="H182" s="178"/>
      <c r="I182" s="184" t="s">
        <v>184</v>
      </c>
      <c r="J182" s="182">
        <v>0.73028000000000004</v>
      </c>
      <c r="K182" s="182">
        <v>0</v>
      </c>
    </row>
    <row r="183" spans="1:11" ht="45" x14ac:dyDescent="0.25">
      <c r="A183" s="275"/>
      <c r="B183" s="178"/>
      <c r="C183" s="178"/>
      <c r="D183" s="182">
        <v>2.4039999999999999</v>
      </c>
      <c r="E183" s="179" t="s">
        <v>185</v>
      </c>
      <c r="F183" s="94">
        <f t="shared" si="5"/>
        <v>2.4039999999999999</v>
      </c>
      <c r="G183" s="178"/>
      <c r="H183" s="178"/>
      <c r="I183" s="184" t="s">
        <v>185</v>
      </c>
      <c r="J183" s="182">
        <v>2.4039999999999999</v>
      </c>
      <c r="K183" s="182">
        <v>0</v>
      </c>
    </row>
    <row r="184" spans="1:11" ht="45" x14ac:dyDescent="0.25">
      <c r="A184" s="275"/>
      <c r="B184" s="178"/>
      <c r="C184" s="178"/>
      <c r="D184" s="182">
        <v>4.0868000000000002</v>
      </c>
      <c r="E184" s="179" t="s">
        <v>186</v>
      </c>
      <c r="F184" s="93">
        <f t="shared" si="5"/>
        <v>4.0868000000000002</v>
      </c>
      <c r="G184" s="178"/>
      <c r="H184" s="178"/>
      <c r="I184" s="184" t="s">
        <v>186</v>
      </c>
      <c r="J184" s="182">
        <v>2.99899</v>
      </c>
      <c r="K184" s="182">
        <v>1.0878099999999999</v>
      </c>
    </row>
    <row r="185" spans="1:11" ht="45" x14ac:dyDescent="0.25">
      <c r="A185" s="275"/>
      <c r="B185" s="178"/>
      <c r="C185" s="178"/>
      <c r="D185" s="182">
        <v>4.3272000000000004</v>
      </c>
      <c r="E185" s="179" t="s">
        <v>204</v>
      </c>
      <c r="F185" s="93">
        <f t="shared" si="5"/>
        <v>4.3272000000000004</v>
      </c>
      <c r="G185" s="178"/>
      <c r="H185" s="178"/>
      <c r="I185" s="184" t="s">
        <v>186</v>
      </c>
      <c r="J185" s="182">
        <v>1.3823000000000001</v>
      </c>
      <c r="K185" s="182">
        <v>2.9449000000000001</v>
      </c>
    </row>
    <row r="186" spans="1:11" ht="45" x14ac:dyDescent="0.25">
      <c r="A186" s="275"/>
      <c r="B186" s="178"/>
      <c r="C186" s="178"/>
      <c r="D186" s="182">
        <v>3.3054999999999999</v>
      </c>
      <c r="E186" s="179" t="s">
        <v>205</v>
      </c>
      <c r="F186" s="93">
        <f t="shared" si="5"/>
        <v>3.3054999999999999</v>
      </c>
      <c r="G186" s="178"/>
      <c r="H186" s="178"/>
      <c r="I186" s="184" t="s">
        <v>205</v>
      </c>
      <c r="J186" s="182">
        <v>3.3054999999999999</v>
      </c>
      <c r="K186" s="182">
        <v>0</v>
      </c>
    </row>
    <row r="187" spans="1:11" x14ac:dyDescent="0.25">
      <c r="A187" s="275"/>
      <c r="B187" s="178"/>
      <c r="C187" s="178"/>
      <c r="D187" s="182">
        <v>2.3210199999999999</v>
      </c>
      <c r="E187" s="179" t="s">
        <v>187</v>
      </c>
      <c r="F187" s="93">
        <v>2.3210199999999999</v>
      </c>
      <c r="G187" s="178"/>
      <c r="H187" s="178"/>
      <c r="I187" s="184" t="s">
        <v>187</v>
      </c>
      <c r="J187" s="182">
        <v>2.3210199999999999</v>
      </c>
      <c r="K187" s="182">
        <v>0</v>
      </c>
    </row>
    <row r="188" spans="1:11" x14ac:dyDescent="0.25">
      <c r="A188" s="275"/>
      <c r="B188" s="178"/>
      <c r="C188" s="178"/>
      <c r="D188" s="182">
        <v>1.7351300000000001</v>
      </c>
      <c r="E188" s="179" t="s">
        <v>188</v>
      </c>
      <c r="F188" s="93">
        <f t="shared" ref="F188:F194" si="6">D188</f>
        <v>1.7351300000000001</v>
      </c>
      <c r="G188" s="178"/>
      <c r="H188" s="178"/>
      <c r="I188" s="184" t="s">
        <v>188</v>
      </c>
      <c r="J188" s="182">
        <v>1.7351300000000001</v>
      </c>
      <c r="K188" s="182">
        <v>0</v>
      </c>
    </row>
    <row r="189" spans="1:11" x14ac:dyDescent="0.25">
      <c r="A189" s="275"/>
      <c r="B189" s="178"/>
      <c r="C189" s="178"/>
      <c r="D189" s="182">
        <f>0.8113+1.38886+0.13968</f>
        <v>2.3398399999999997</v>
      </c>
      <c r="E189" s="179" t="s">
        <v>91</v>
      </c>
      <c r="F189" s="93">
        <f t="shared" si="6"/>
        <v>2.3398399999999997</v>
      </c>
      <c r="G189" s="178"/>
      <c r="H189" s="178"/>
      <c r="I189" s="184" t="s">
        <v>91</v>
      </c>
      <c r="J189" s="182">
        <f>0.8113+1.38886+0.13968</f>
        <v>2.3398399999999997</v>
      </c>
      <c r="K189" s="182">
        <v>0</v>
      </c>
    </row>
    <row r="190" spans="1:11" ht="30" x14ac:dyDescent="0.25">
      <c r="A190" s="275"/>
      <c r="B190" s="178"/>
      <c r="C190" s="178"/>
      <c r="D190" s="182">
        <v>1.83538</v>
      </c>
      <c r="E190" s="179" t="s">
        <v>189</v>
      </c>
      <c r="F190" s="93">
        <f t="shared" si="6"/>
        <v>1.83538</v>
      </c>
      <c r="G190" s="178"/>
      <c r="H190" s="178"/>
      <c r="I190" s="184" t="s">
        <v>189</v>
      </c>
      <c r="J190" s="182">
        <v>0</v>
      </c>
      <c r="K190" s="182">
        <v>1.83538</v>
      </c>
    </row>
    <row r="191" spans="1:11" x14ac:dyDescent="0.25">
      <c r="A191" s="275"/>
      <c r="B191" s="178"/>
      <c r="C191" s="178"/>
      <c r="D191" s="182">
        <v>0.48992999999999998</v>
      </c>
      <c r="E191" s="179" t="s">
        <v>197</v>
      </c>
      <c r="F191" s="93">
        <f t="shared" si="6"/>
        <v>0.48992999999999998</v>
      </c>
      <c r="G191" s="178"/>
      <c r="H191" s="178"/>
      <c r="I191" s="184" t="s">
        <v>197</v>
      </c>
      <c r="J191" s="182">
        <v>0.48992999999999998</v>
      </c>
      <c r="K191" s="182">
        <v>0</v>
      </c>
    </row>
    <row r="192" spans="1:11" x14ac:dyDescent="0.25">
      <c r="A192" s="275"/>
      <c r="B192" s="178"/>
      <c r="C192" s="178"/>
      <c r="D192" s="182">
        <v>6.7630299999999997</v>
      </c>
      <c r="E192" s="179" t="s">
        <v>190</v>
      </c>
      <c r="F192" s="93">
        <f t="shared" si="6"/>
        <v>6.7630299999999997</v>
      </c>
      <c r="G192" s="178"/>
      <c r="H192" s="178"/>
      <c r="I192" s="184" t="s">
        <v>190</v>
      </c>
      <c r="J192" s="182">
        <v>6.7630299999999997</v>
      </c>
      <c r="K192" s="182">
        <v>0</v>
      </c>
    </row>
    <row r="193" spans="1:12" x14ac:dyDescent="0.25">
      <c r="A193" s="275"/>
      <c r="B193" s="178"/>
      <c r="C193" s="178"/>
      <c r="D193" s="182">
        <v>0.19155</v>
      </c>
      <c r="E193" s="179" t="s">
        <v>191</v>
      </c>
      <c r="F193" s="93">
        <f t="shared" si="6"/>
        <v>0.19155</v>
      </c>
      <c r="G193" s="178"/>
      <c r="H193" s="178"/>
      <c r="I193" s="184" t="s">
        <v>191</v>
      </c>
      <c r="J193" s="182">
        <v>0.16206999999999999</v>
      </c>
      <c r="K193" s="182">
        <v>2.9479999999999999E-2</v>
      </c>
    </row>
    <row r="194" spans="1:12" x14ac:dyDescent="0.25">
      <c r="A194" s="275"/>
      <c r="B194" s="178"/>
      <c r="C194" s="178"/>
      <c r="D194" s="182">
        <v>0.47499999999999998</v>
      </c>
      <c r="E194" s="179" t="s">
        <v>192</v>
      </c>
      <c r="F194" s="93">
        <f t="shared" si="6"/>
        <v>0.47499999999999998</v>
      </c>
      <c r="G194" s="178"/>
      <c r="H194" s="178"/>
      <c r="I194" s="184" t="s">
        <v>192</v>
      </c>
      <c r="J194" s="182">
        <v>0.33250000000000002</v>
      </c>
      <c r="K194" s="182">
        <v>0.14249999999999999</v>
      </c>
    </row>
    <row r="195" spans="1:12" x14ac:dyDescent="0.25">
      <c r="A195" s="275"/>
      <c r="B195" s="178"/>
      <c r="C195" s="178"/>
      <c r="D195" s="182">
        <v>0.68240000000000001</v>
      </c>
      <c r="E195" s="179" t="s">
        <v>193</v>
      </c>
      <c r="F195" s="93">
        <v>0.68240000000000001</v>
      </c>
      <c r="G195" s="178"/>
      <c r="H195" s="178"/>
      <c r="I195" s="184" t="s">
        <v>193</v>
      </c>
      <c r="J195" s="182">
        <v>0.68240000000000001</v>
      </c>
      <c r="K195" s="182">
        <v>0</v>
      </c>
    </row>
    <row r="196" spans="1:12" x14ac:dyDescent="0.25">
      <c r="A196" s="275"/>
      <c r="B196" s="178"/>
      <c r="C196" s="178"/>
      <c r="D196" s="182">
        <f>1.27459+0.79662</f>
        <v>2.0712099999999998</v>
      </c>
      <c r="E196" s="179" t="s">
        <v>194</v>
      </c>
      <c r="F196" s="93">
        <f t="shared" ref="F196:F233" si="7">D196</f>
        <v>2.0712099999999998</v>
      </c>
      <c r="G196" s="178"/>
      <c r="H196" s="178"/>
      <c r="I196" s="184" t="s">
        <v>194</v>
      </c>
      <c r="J196" s="182">
        <v>1.4976499999999999</v>
      </c>
      <c r="K196" s="182">
        <v>0.57355999999999996</v>
      </c>
    </row>
    <row r="197" spans="1:12" x14ac:dyDescent="0.25">
      <c r="A197" s="275"/>
      <c r="B197" s="178"/>
      <c r="C197" s="178"/>
      <c r="D197" s="182">
        <v>0.68240000000000001</v>
      </c>
      <c r="E197" s="179" t="s">
        <v>195</v>
      </c>
      <c r="F197" s="93">
        <f t="shared" si="7"/>
        <v>0.68240000000000001</v>
      </c>
      <c r="G197" s="178"/>
      <c r="H197" s="178"/>
      <c r="I197" s="184" t="s">
        <v>195</v>
      </c>
      <c r="J197" s="182">
        <v>0.68240000000000001</v>
      </c>
      <c r="K197" s="182">
        <v>0</v>
      </c>
    </row>
    <row r="198" spans="1:12" x14ac:dyDescent="0.25">
      <c r="A198" s="275"/>
      <c r="B198" s="178"/>
      <c r="C198" s="178"/>
      <c r="D198" s="182">
        <f>1.32134+1.32734</f>
        <v>2.6486799999999997</v>
      </c>
      <c r="E198" s="179" t="s">
        <v>196</v>
      </c>
      <c r="F198" s="93">
        <f t="shared" si="7"/>
        <v>2.6486799999999997</v>
      </c>
      <c r="G198" s="178"/>
      <c r="H198" s="178"/>
      <c r="I198" s="184" t="s">
        <v>196</v>
      </c>
      <c r="J198" s="182">
        <v>0.39639999999999997</v>
      </c>
      <c r="K198" s="182">
        <v>2.2522799999999998</v>
      </c>
    </row>
    <row r="199" spans="1:12" ht="30" x14ac:dyDescent="0.25">
      <c r="A199" s="275"/>
      <c r="B199" s="178"/>
      <c r="C199" s="178"/>
      <c r="D199" s="182">
        <v>0.22128</v>
      </c>
      <c r="E199" s="179" t="s">
        <v>198</v>
      </c>
      <c r="F199" s="93">
        <f t="shared" si="7"/>
        <v>0.22128</v>
      </c>
      <c r="G199" s="178"/>
      <c r="H199" s="178"/>
      <c r="I199" s="184" t="s">
        <v>198</v>
      </c>
      <c r="J199" s="182">
        <v>0.22128</v>
      </c>
      <c r="K199" s="182">
        <v>0</v>
      </c>
    </row>
    <row r="200" spans="1:12" x14ac:dyDescent="0.25">
      <c r="A200" s="275"/>
      <c r="B200" s="178"/>
      <c r="C200" s="178"/>
      <c r="D200" s="182">
        <f>0.09054+0.368+0.093+0.44156</f>
        <v>0.99310000000000009</v>
      </c>
      <c r="E200" s="179" t="s">
        <v>101</v>
      </c>
      <c r="F200" s="93">
        <f t="shared" si="7"/>
        <v>0.99310000000000009</v>
      </c>
      <c r="G200" s="178"/>
      <c r="H200" s="178"/>
      <c r="I200" s="184" t="s">
        <v>101</v>
      </c>
      <c r="J200" s="182">
        <v>0.87656000000000001</v>
      </c>
      <c r="K200" s="182">
        <v>0.11654</v>
      </c>
    </row>
    <row r="201" spans="1:12" x14ac:dyDescent="0.25">
      <c r="A201" s="275"/>
      <c r="B201" s="178"/>
      <c r="C201" s="178"/>
      <c r="D201" s="182">
        <f>0.549+1.396</f>
        <v>1.9449999999999998</v>
      </c>
      <c r="E201" s="179" t="s">
        <v>200</v>
      </c>
      <c r="F201" s="93">
        <f t="shared" si="7"/>
        <v>1.9449999999999998</v>
      </c>
      <c r="G201" s="178"/>
      <c r="H201" s="178"/>
      <c r="I201" s="184" t="s">
        <v>199</v>
      </c>
      <c r="J201" s="182">
        <v>1.43546</v>
      </c>
      <c r="K201" s="182">
        <v>0.50953999999999999</v>
      </c>
    </row>
    <row r="202" spans="1:12" x14ac:dyDescent="0.25">
      <c r="A202" s="275"/>
      <c r="B202" s="178"/>
      <c r="C202" s="178"/>
      <c r="D202" s="182">
        <f>0.4171+0.535+0.9416</f>
        <v>1.8936999999999999</v>
      </c>
      <c r="E202" s="179" t="s">
        <v>104</v>
      </c>
      <c r="F202" s="93">
        <f t="shared" si="7"/>
        <v>1.8936999999999999</v>
      </c>
      <c r="G202" s="178"/>
      <c r="H202" s="178"/>
      <c r="I202" s="184" t="s">
        <v>104</v>
      </c>
      <c r="J202" s="182">
        <v>1.3045599999999999</v>
      </c>
      <c r="K202" s="182">
        <v>0.58914</v>
      </c>
    </row>
    <row r="203" spans="1:12" x14ac:dyDescent="0.25">
      <c r="A203" s="275"/>
      <c r="B203" s="178"/>
      <c r="C203" s="178"/>
      <c r="D203" s="182">
        <v>1.7784</v>
      </c>
      <c r="E203" s="179" t="s">
        <v>201</v>
      </c>
      <c r="F203" s="93">
        <f t="shared" si="7"/>
        <v>1.7784</v>
      </c>
      <c r="G203" s="178"/>
      <c r="H203" s="178"/>
      <c r="I203" s="184" t="s">
        <v>201</v>
      </c>
      <c r="J203" s="182">
        <v>1.69746</v>
      </c>
      <c r="K203" s="182">
        <v>8.0939999999999998E-2</v>
      </c>
    </row>
    <row r="204" spans="1:12" x14ac:dyDescent="0.25">
      <c r="A204" s="275"/>
      <c r="B204" s="178"/>
      <c r="C204" s="178"/>
      <c r="D204" s="182">
        <f>0.21507+1.19928</f>
        <v>1.41435</v>
      </c>
      <c r="E204" s="179" t="s">
        <v>202</v>
      </c>
      <c r="F204" s="93">
        <f t="shared" si="7"/>
        <v>1.41435</v>
      </c>
      <c r="G204" s="178"/>
      <c r="H204" s="178"/>
      <c r="I204" s="184" t="s">
        <v>202</v>
      </c>
      <c r="J204" s="182">
        <f>0.21507+1.19928</f>
        <v>1.41435</v>
      </c>
      <c r="K204" s="182">
        <v>0</v>
      </c>
    </row>
    <row r="205" spans="1:12" x14ac:dyDescent="0.25">
      <c r="A205" s="275"/>
      <c r="B205" s="178"/>
      <c r="C205" s="178"/>
      <c r="D205" s="182">
        <v>0.15095</v>
      </c>
      <c r="E205" s="179" t="s">
        <v>203</v>
      </c>
      <c r="F205" s="93">
        <f t="shared" si="7"/>
        <v>0.15095</v>
      </c>
      <c r="G205" s="178"/>
      <c r="H205" s="178"/>
      <c r="I205" s="184" t="s">
        <v>203</v>
      </c>
      <c r="J205" s="182">
        <v>0.15095</v>
      </c>
      <c r="K205" s="182">
        <v>0</v>
      </c>
    </row>
    <row r="206" spans="1:12" ht="75" x14ac:dyDescent="0.3">
      <c r="A206" s="276" t="s">
        <v>14</v>
      </c>
      <c r="B206" s="52" t="s">
        <v>47</v>
      </c>
      <c r="C206" s="178"/>
      <c r="D206" s="182">
        <v>7.4779999999999999E-2</v>
      </c>
      <c r="E206" s="178" t="s">
        <v>149</v>
      </c>
      <c r="F206" s="106">
        <f t="shared" si="7"/>
        <v>7.4779999999999999E-2</v>
      </c>
      <c r="G206" s="178"/>
      <c r="H206" s="178"/>
      <c r="I206" s="178" t="s">
        <v>149</v>
      </c>
      <c r="J206" s="182">
        <v>2.2440000000000002E-2</v>
      </c>
      <c r="K206" s="150">
        <v>5.2339999999999998E-2</v>
      </c>
      <c r="L206" s="38"/>
    </row>
    <row r="207" spans="1:12" x14ac:dyDescent="0.25">
      <c r="A207" s="276"/>
      <c r="B207" s="178"/>
      <c r="C207" s="178"/>
      <c r="D207" s="182">
        <f>1.1484+0.3144</f>
        <v>1.4628000000000001</v>
      </c>
      <c r="E207" s="178" t="s">
        <v>56</v>
      </c>
      <c r="F207" s="106">
        <f t="shared" si="7"/>
        <v>1.4628000000000001</v>
      </c>
      <c r="G207" s="178"/>
      <c r="H207" s="178"/>
      <c r="I207" s="178" t="s">
        <v>56</v>
      </c>
      <c r="J207" s="151">
        <f>0.59334+0.3144</f>
        <v>0.90773999999999999</v>
      </c>
      <c r="K207" s="150">
        <v>0.55525999999999998</v>
      </c>
      <c r="L207" s="38"/>
    </row>
    <row r="208" spans="1:12" ht="30" x14ac:dyDescent="0.25">
      <c r="A208" s="276"/>
      <c r="B208" s="178"/>
      <c r="C208" s="178"/>
      <c r="D208" s="182">
        <v>0.13919999999999999</v>
      </c>
      <c r="E208" s="179" t="s">
        <v>306</v>
      </c>
      <c r="F208" s="106">
        <f t="shared" si="7"/>
        <v>0.13919999999999999</v>
      </c>
      <c r="G208" s="178"/>
      <c r="H208" s="178"/>
      <c r="I208" s="179" t="s">
        <v>306</v>
      </c>
      <c r="J208" s="182">
        <v>0.13919999999999999</v>
      </c>
      <c r="K208" s="150">
        <v>0</v>
      </c>
      <c r="L208" s="38"/>
    </row>
    <row r="209" spans="1:12" x14ac:dyDescent="0.25">
      <c r="A209" s="276"/>
      <c r="B209" s="178"/>
      <c r="C209" s="178"/>
      <c r="D209" s="182">
        <v>0.64249999999999996</v>
      </c>
      <c r="E209" s="178" t="s">
        <v>307</v>
      </c>
      <c r="F209" s="106">
        <f t="shared" si="7"/>
        <v>0.64249999999999996</v>
      </c>
      <c r="G209" s="178"/>
      <c r="H209" s="178"/>
      <c r="I209" s="178" t="s">
        <v>307</v>
      </c>
      <c r="J209" s="182">
        <v>0.64249999999999996</v>
      </c>
      <c r="K209" s="150">
        <v>0</v>
      </c>
      <c r="L209" s="38"/>
    </row>
    <row r="210" spans="1:12" x14ac:dyDescent="0.25">
      <c r="A210" s="276"/>
      <c r="B210" s="178"/>
      <c r="C210" s="178"/>
      <c r="D210" s="182">
        <v>6.1800000000000001E-2</v>
      </c>
      <c r="E210" s="178" t="s">
        <v>310</v>
      </c>
      <c r="F210" s="106">
        <f t="shared" si="7"/>
        <v>6.1800000000000001E-2</v>
      </c>
      <c r="G210" s="178"/>
      <c r="H210" s="178"/>
      <c r="I210" s="178" t="s">
        <v>310</v>
      </c>
      <c r="J210" s="150">
        <v>6.1799999999999997E-3</v>
      </c>
      <c r="K210" s="150">
        <v>5.568E-2</v>
      </c>
      <c r="L210" s="38"/>
    </row>
    <row r="211" spans="1:12" x14ac:dyDescent="0.25">
      <c r="A211" s="276"/>
      <c r="B211" s="178"/>
      <c r="C211" s="178"/>
      <c r="D211" s="182">
        <v>0.14829999999999999</v>
      </c>
      <c r="E211" s="178" t="s">
        <v>213</v>
      </c>
      <c r="F211" s="106">
        <f t="shared" si="7"/>
        <v>0.14829999999999999</v>
      </c>
      <c r="G211" s="178"/>
      <c r="H211" s="178"/>
      <c r="I211" s="178" t="s">
        <v>213</v>
      </c>
      <c r="J211" s="182">
        <v>0.14829999999999999</v>
      </c>
      <c r="K211" s="150">
        <v>0</v>
      </c>
      <c r="L211" s="38"/>
    </row>
    <row r="212" spans="1:12" x14ac:dyDescent="0.25">
      <c r="A212" s="276"/>
      <c r="B212" s="178"/>
      <c r="C212" s="178"/>
      <c r="D212" s="182">
        <v>0.49434</v>
      </c>
      <c r="E212" s="178" t="s">
        <v>311</v>
      </c>
      <c r="F212" s="106">
        <f t="shared" si="7"/>
        <v>0.49434</v>
      </c>
      <c r="G212" s="178"/>
      <c r="H212" s="178"/>
      <c r="I212" s="178" t="s">
        <v>311</v>
      </c>
      <c r="J212" s="150">
        <v>0.14829999999999999</v>
      </c>
      <c r="K212" s="150">
        <v>0.34604000000000001</v>
      </c>
      <c r="L212" s="38"/>
    </row>
    <row r="213" spans="1:12" ht="30" x14ac:dyDescent="0.25">
      <c r="A213" s="276"/>
      <c r="B213" s="178"/>
      <c r="C213" s="178"/>
      <c r="D213" s="182">
        <v>0.49434</v>
      </c>
      <c r="E213" s="179" t="s">
        <v>312</v>
      </c>
      <c r="F213" s="106">
        <f t="shared" si="7"/>
        <v>0.49434</v>
      </c>
      <c r="G213" s="178"/>
      <c r="H213" s="178"/>
      <c r="I213" s="179" t="s">
        <v>312</v>
      </c>
      <c r="J213" s="182">
        <v>0.49434</v>
      </c>
      <c r="K213" s="150">
        <v>0</v>
      </c>
      <c r="L213" s="38"/>
    </row>
    <row r="214" spans="1:12" x14ac:dyDescent="0.25">
      <c r="A214" s="276"/>
      <c r="B214" s="178"/>
      <c r="C214" s="178"/>
      <c r="D214" s="182">
        <v>1.55535</v>
      </c>
      <c r="E214" s="178" t="s">
        <v>159</v>
      </c>
      <c r="F214" s="106">
        <f t="shared" si="7"/>
        <v>1.55535</v>
      </c>
      <c r="G214" s="178"/>
      <c r="H214" s="178"/>
      <c r="I214" s="178" t="s">
        <v>159</v>
      </c>
      <c r="J214" s="182">
        <v>1.55535</v>
      </c>
      <c r="K214" s="150">
        <v>0</v>
      </c>
      <c r="L214" s="38"/>
    </row>
    <row r="215" spans="1:12" x14ac:dyDescent="0.25">
      <c r="A215" s="276"/>
      <c r="B215" s="178"/>
      <c r="C215" s="178"/>
      <c r="D215" s="182">
        <v>2.8400000000000002E-2</v>
      </c>
      <c r="E215" s="178" t="s">
        <v>61</v>
      </c>
      <c r="F215" s="106">
        <f t="shared" si="7"/>
        <v>2.8400000000000002E-2</v>
      </c>
      <c r="G215" s="178"/>
      <c r="H215" s="178"/>
      <c r="I215" s="178" t="s">
        <v>61</v>
      </c>
      <c r="J215" s="150">
        <v>1.4200000000000001E-2</v>
      </c>
      <c r="K215" s="150">
        <v>1.4200000000000001E-2</v>
      </c>
      <c r="L215" s="38"/>
    </row>
    <row r="216" spans="1:12" x14ac:dyDescent="0.25">
      <c r="A216" s="276"/>
      <c r="B216" s="178"/>
      <c r="C216" s="178"/>
      <c r="D216" s="182">
        <f>4.8716+9.87482</f>
        <v>14.746420000000001</v>
      </c>
      <c r="E216" s="178" t="s">
        <v>160</v>
      </c>
      <c r="F216" s="106">
        <f t="shared" si="7"/>
        <v>14.746420000000001</v>
      </c>
      <c r="G216" s="178"/>
      <c r="H216" s="178"/>
      <c r="I216" s="178" t="s">
        <v>160</v>
      </c>
      <c r="J216" s="182">
        <f>4.8716+8.3936</f>
        <v>13.2652</v>
      </c>
      <c r="K216" s="182">
        <f>1.48122</f>
        <v>1.48122</v>
      </c>
      <c r="L216" s="38"/>
    </row>
    <row r="217" spans="1:12" x14ac:dyDescent="0.25">
      <c r="A217" s="276"/>
      <c r="B217" s="178"/>
      <c r="C217" s="178"/>
      <c r="D217" s="182">
        <f>0.01485+0.01926</f>
        <v>3.4110000000000001E-2</v>
      </c>
      <c r="E217" s="178" t="s">
        <v>62</v>
      </c>
      <c r="F217" s="106">
        <f t="shared" si="7"/>
        <v>3.4110000000000001E-2</v>
      </c>
      <c r="G217" s="178"/>
      <c r="H217" s="178"/>
      <c r="I217" s="178" t="s">
        <v>62</v>
      </c>
      <c r="J217" s="182">
        <v>1.485E-2</v>
      </c>
      <c r="K217" s="150">
        <f>0+0.01926</f>
        <v>1.9259999999999999E-2</v>
      </c>
      <c r="L217" s="38"/>
    </row>
    <row r="218" spans="1:12" x14ac:dyDescent="0.25">
      <c r="A218" s="276"/>
      <c r="B218" s="178"/>
      <c r="C218" s="178"/>
      <c r="D218" s="182">
        <f>1.58535</f>
        <v>1.58535</v>
      </c>
      <c r="E218" s="178" t="s">
        <v>313</v>
      </c>
      <c r="F218" s="106">
        <f t="shared" si="7"/>
        <v>1.58535</v>
      </c>
      <c r="G218" s="178"/>
      <c r="H218" s="178"/>
      <c r="I218" s="178" t="s">
        <v>313</v>
      </c>
      <c r="J218" s="182">
        <v>0</v>
      </c>
      <c r="K218" s="182">
        <f>1.58535</f>
        <v>1.58535</v>
      </c>
      <c r="L218" s="38"/>
    </row>
    <row r="219" spans="1:12" x14ac:dyDescent="0.25">
      <c r="A219" s="276"/>
      <c r="B219" s="178"/>
      <c r="C219" s="178"/>
      <c r="D219" s="182">
        <f>0.34085+0.33143+0.33149+0.33922</f>
        <v>1.3429900000000001</v>
      </c>
      <c r="E219" s="178" t="s">
        <v>63</v>
      </c>
      <c r="F219" s="106">
        <f t="shared" si="7"/>
        <v>1.3429900000000001</v>
      </c>
      <c r="G219" s="178"/>
      <c r="H219" s="178"/>
      <c r="I219" s="178" t="s">
        <v>63</v>
      </c>
      <c r="J219" s="150">
        <f>0.13634+0.33922</f>
        <v>0.47555999999999998</v>
      </c>
      <c r="K219" s="150">
        <f>0.20451+0.33143+0.33149</f>
        <v>0.86742999999999992</v>
      </c>
      <c r="L219" s="38"/>
    </row>
    <row r="220" spans="1:12" x14ac:dyDescent="0.25">
      <c r="A220" s="276"/>
      <c r="B220" s="178"/>
      <c r="C220" s="178"/>
      <c r="D220" s="182">
        <v>0.13134999999999999</v>
      </c>
      <c r="E220" s="178" t="s">
        <v>64</v>
      </c>
      <c r="F220" s="106">
        <f t="shared" si="7"/>
        <v>0.13134999999999999</v>
      </c>
      <c r="G220" s="178"/>
      <c r="H220" s="178"/>
      <c r="I220" s="178" t="s">
        <v>64</v>
      </c>
      <c r="J220" s="150">
        <v>5.2540000000000003E-2</v>
      </c>
      <c r="K220" s="150">
        <v>7.8810000000000005E-2</v>
      </c>
      <c r="L220" s="38"/>
    </row>
    <row r="221" spans="1:12" x14ac:dyDescent="0.25">
      <c r="A221" s="276"/>
      <c r="B221" s="178"/>
      <c r="C221" s="178"/>
      <c r="D221" s="182">
        <v>0.4425</v>
      </c>
      <c r="E221" s="178" t="s">
        <v>317</v>
      </c>
      <c r="F221" s="106">
        <f t="shared" si="7"/>
        <v>0.4425</v>
      </c>
      <c r="G221" s="178"/>
      <c r="H221" s="178"/>
      <c r="I221" s="178" t="s">
        <v>317</v>
      </c>
      <c r="J221" s="150">
        <v>6.1949999999999998E-2</v>
      </c>
      <c r="K221" s="150">
        <v>0.38055</v>
      </c>
      <c r="L221" s="38"/>
    </row>
    <row r="222" spans="1:12" x14ac:dyDescent="0.25">
      <c r="A222" s="276"/>
      <c r="B222" s="178"/>
      <c r="C222" s="178"/>
      <c r="D222" s="182">
        <v>0.88500000000000001</v>
      </c>
      <c r="E222" s="178" t="s">
        <v>318</v>
      </c>
      <c r="F222" s="106">
        <f t="shared" si="7"/>
        <v>0.88500000000000001</v>
      </c>
      <c r="G222" s="178"/>
      <c r="H222" s="178"/>
      <c r="I222" s="178" t="s">
        <v>318</v>
      </c>
      <c r="J222" s="182">
        <v>0.88500000000000001</v>
      </c>
      <c r="K222" s="150">
        <v>0</v>
      </c>
      <c r="L222" s="38"/>
    </row>
    <row r="223" spans="1:12" x14ac:dyDescent="0.25">
      <c r="A223" s="276"/>
      <c r="B223" s="178"/>
      <c r="C223" s="178"/>
      <c r="D223" s="182">
        <f>1.13075+0.60307+0.6345+0.6346</f>
        <v>3.0029199999999996</v>
      </c>
      <c r="E223" s="178" t="s">
        <v>218</v>
      </c>
      <c r="F223" s="106">
        <f t="shared" si="7"/>
        <v>3.0029199999999996</v>
      </c>
      <c r="G223" s="178"/>
      <c r="H223" s="178"/>
      <c r="I223" s="178" t="s">
        <v>218</v>
      </c>
      <c r="J223" s="182">
        <f>1.13075+0.60307+0.5076</f>
        <v>2.2414199999999997</v>
      </c>
      <c r="K223" s="150">
        <f>0.1269+0.6346</f>
        <v>0.76150000000000007</v>
      </c>
      <c r="L223" s="38"/>
    </row>
    <row r="224" spans="1:12" x14ac:dyDescent="0.25">
      <c r="A224" s="276"/>
      <c r="B224" s="178"/>
      <c r="C224" s="178"/>
      <c r="D224" s="182">
        <v>1.3662000000000001</v>
      </c>
      <c r="E224" s="178" t="s">
        <v>320</v>
      </c>
      <c r="F224" s="106">
        <f t="shared" si="7"/>
        <v>1.3662000000000001</v>
      </c>
      <c r="G224" s="178"/>
      <c r="H224" s="178"/>
      <c r="I224" s="178" t="s">
        <v>320</v>
      </c>
      <c r="J224" s="150">
        <v>0.27323999999999998</v>
      </c>
      <c r="K224" s="150">
        <v>1.0929599999999999</v>
      </c>
      <c r="L224" s="38"/>
    </row>
    <row r="225" spans="1:12" x14ac:dyDescent="0.25">
      <c r="A225" s="276"/>
      <c r="B225" s="178"/>
      <c r="C225" s="178"/>
      <c r="D225" s="182">
        <v>3.2765599999999999</v>
      </c>
      <c r="E225" s="178" t="s">
        <v>322</v>
      </c>
      <c r="F225" s="106">
        <f t="shared" si="7"/>
        <v>3.2765599999999999</v>
      </c>
      <c r="G225" s="178"/>
      <c r="H225" s="178"/>
      <c r="I225" s="178" t="s">
        <v>322</v>
      </c>
      <c r="J225" s="182">
        <v>3.2765599999999999</v>
      </c>
      <c r="K225" s="150">
        <v>0</v>
      </c>
      <c r="L225" s="38"/>
    </row>
    <row r="226" spans="1:12" x14ac:dyDescent="0.25">
      <c r="A226" s="276"/>
      <c r="B226" s="178"/>
      <c r="C226" s="178"/>
      <c r="D226" s="182">
        <v>0.1128</v>
      </c>
      <c r="E226" s="178" t="s">
        <v>323</v>
      </c>
      <c r="F226" s="106">
        <f t="shared" si="7"/>
        <v>0.1128</v>
      </c>
      <c r="G226" s="178"/>
      <c r="H226" s="178"/>
      <c r="I226" s="178" t="s">
        <v>323</v>
      </c>
      <c r="J226" s="150">
        <v>3.3840000000000002E-2</v>
      </c>
      <c r="K226" s="150">
        <v>7.8960000000000002E-2</v>
      </c>
      <c r="L226" s="38"/>
    </row>
    <row r="227" spans="1:12" x14ac:dyDescent="0.25">
      <c r="A227" s="276"/>
      <c r="B227" s="178"/>
      <c r="C227" s="178"/>
      <c r="D227" s="182">
        <f>0.3212+0.1204</f>
        <v>0.44159999999999999</v>
      </c>
      <c r="E227" s="178" t="s">
        <v>324</v>
      </c>
      <c r="F227" s="106">
        <f t="shared" si="7"/>
        <v>0.44159999999999999</v>
      </c>
      <c r="G227" s="178"/>
      <c r="H227" s="178"/>
      <c r="I227" s="178" t="s">
        <v>324</v>
      </c>
      <c r="J227" s="182">
        <f>0.3212+0.1204</f>
        <v>0.44159999999999999</v>
      </c>
      <c r="K227" s="150">
        <v>0</v>
      </c>
      <c r="L227" s="38"/>
    </row>
    <row r="228" spans="1:12" ht="30" x14ac:dyDescent="0.25">
      <c r="A228" s="276"/>
      <c r="B228" s="178"/>
      <c r="C228" s="178"/>
      <c r="D228" s="182">
        <v>0.14595</v>
      </c>
      <c r="E228" s="179" t="s">
        <v>325</v>
      </c>
      <c r="F228" s="106">
        <f t="shared" si="7"/>
        <v>0.14595</v>
      </c>
      <c r="G228" s="178"/>
      <c r="H228" s="178"/>
      <c r="I228" s="179" t="s">
        <v>325</v>
      </c>
      <c r="J228" s="182">
        <v>0.14595</v>
      </c>
      <c r="K228" s="150">
        <v>0</v>
      </c>
      <c r="L228" s="38"/>
    </row>
    <row r="229" spans="1:12" x14ac:dyDescent="0.25">
      <c r="A229" s="276"/>
      <c r="B229" s="178"/>
      <c r="C229" s="178"/>
      <c r="D229" s="182">
        <f>0.84+0.091</f>
        <v>0.93099999999999994</v>
      </c>
      <c r="E229" s="178" t="s">
        <v>70</v>
      </c>
      <c r="F229" s="106">
        <f t="shared" si="7"/>
        <v>0.93099999999999994</v>
      </c>
      <c r="G229" s="178"/>
      <c r="H229" s="178"/>
      <c r="I229" s="178" t="s">
        <v>70</v>
      </c>
      <c r="J229" s="182">
        <v>0.82235999999999998</v>
      </c>
      <c r="K229" s="150">
        <f>0.01764+0.091</f>
        <v>0.10864</v>
      </c>
      <c r="L229" s="38"/>
    </row>
    <row r="230" spans="1:12" ht="30" x14ac:dyDescent="0.25">
      <c r="A230" s="276"/>
      <c r="B230" s="178"/>
      <c r="C230" s="178"/>
      <c r="D230" s="182">
        <v>1.7569999999999999</v>
      </c>
      <c r="E230" s="179" t="s">
        <v>327</v>
      </c>
      <c r="F230" s="183">
        <f t="shared" si="7"/>
        <v>1.7569999999999999</v>
      </c>
      <c r="G230" s="178"/>
      <c r="H230" s="178"/>
      <c r="I230" s="179" t="s">
        <v>327</v>
      </c>
      <c r="J230" s="182">
        <v>0</v>
      </c>
      <c r="K230" s="182">
        <v>1.7569999999999999</v>
      </c>
    </row>
    <row r="231" spans="1:12" x14ac:dyDescent="0.25">
      <c r="A231" s="274"/>
      <c r="B231" s="178"/>
      <c r="C231" s="178"/>
      <c r="D231" s="182">
        <v>0.72467999999999999</v>
      </c>
      <c r="E231" s="179" t="s">
        <v>283</v>
      </c>
      <c r="F231" s="183">
        <f t="shared" si="7"/>
        <v>0.72467999999999999</v>
      </c>
      <c r="G231" s="178"/>
      <c r="H231" s="178"/>
      <c r="I231" s="179" t="s">
        <v>283</v>
      </c>
      <c r="J231" s="182">
        <v>0.72467999999999999</v>
      </c>
      <c r="K231" s="182">
        <v>0</v>
      </c>
    </row>
    <row r="232" spans="1:12" x14ac:dyDescent="0.25">
      <c r="A232" s="274"/>
      <c r="B232" s="178"/>
      <c r="C232" s="178"/>
      <c r="D232" s="182">
        <v>0.64983000000000002</v>
      </c>
      <c r="E232" s="179" t="s">
        <v>330</v>
      </c>
      <c r="F232" s="183">
        <f t="shared" si="7"/>
        <v>0.64983000000000002</v>
      </c>
      <c r="G232" s="178"/>
      <c r="H232" s="178"/>
      <c r="I232" s="179" t="s">
        <v>330</v>
      </c>
      <c r="J232" s="182">
        <v>0.64983000000000002</v>
      </c>
      <c r="K232" s="182">
        <v>0</v>
      </c>
    </row>
    <row r="233" spans="1:12" x14ac:dyDescent="0.25">
      <c r="A233" s="274"/>
      <c r="B233" s="178"/>
      <c r="C233" s="178"/>
      <c r="D233" s="182">
        <f>15.46536</f>
        <v>15.46536</v>
      </c>
      <c r="E233" s="179" t="s">
        <v>77</v>
      </c>
      <c r="F233" s="183">
        <f t="shared" si="7"/>
        <v>15.46536</v>
      </c>
      <c r="G233" s="178"/>
      <c r="H233" s="178"/>
      <c r="I233" s="179" t="s">
        <v>77</v>
      </c>
      <c r="J233" s="182">
        <v>10.532550000000001</v>
      </c>
      <c r="K233" s="182">
        <v>4.9328099999999999</v>
      </c>
    </row>
    <row r="234" spans="1:12" x14ac:dyDescent="0.25">
      <c r="A234" s="274"/>
      <c r="B234" s="178"/>
      <c r="C234" s="178"/>
      <c r="D234" s="182">
        <v>7.0620000000000002E-2</v>
      </c>
      <c r="E234" s="179" t="s">
        <v>78</v>
      </c>
      <c r="F234" s="186">
        <v>7.0620000000000002E-2</v>
      </c>
      <c r="G234" s="178"/>
      <c r="H234" s="178"/>
      <c r="I234" s="179" t="s">
        <v>78</v>
      </c>
      <c r="J234" s="182">
        <v>7.0620000000000002E-2</v>
      </c>
      <c r="K234" s="182">
        <v>0</v>
      </c>
    </row>
    <row r="235" spans="1:12" ht="30" x14ac:dyDescent="0.25">
      <c r="A235" s="274"/>
      <c r="B235" s="178"/>
      <c r="C235" s="178"/>
      <c r="D235" s="182">
        <f>0.28505+0.1399</f>
        <v>0.42495000000000005</v>
      </c>
      <c r="E235" s="179" t="s">
        <v>331</v>
      </c>
      <c r="F235" s="186">
        <f t="shared" ref="F235:F281" si="8">D235</f>
        <v>0.42495000000000005</v>
      </c>
      <c r="G235" s="178"/>
      <c r="H235" s="178"/>
      <c r="I235" s="179" t="s">
        <v>331</v>
      </c>
      <c r="J235" s="182">
        <f>0.18687+0.1399</f>
        <v>0.32677</v>
      </c>
      <c r="K235" s="182">
        <v>9.8000000000000004E-2</v>
      </c>
    </row>
    <row r="236" spans="1:12" ht="30" x14ac:dyDescent="0.25">
      <c r="A236" s="274"/>
      <c r="B236" s="178"/>
      <c r="C236" s="178"/>
      <c r="D236" s="182">
        <v>0.17380000000000001</v>
      </c>
      <c r="E236" s="179" t="s">
        <v>122</v>
      </c>
      <c r="F236" s="186">
        <f t="shared" si="8"/>
        <v>0.17380000000000001</v>
      </c>
      <c r="G236" s="178"/>
      <c r="H236" s="178"/>
      <c r="I236" s="179" t="s">
        <v>122</v>
      </c>
      <c r="J236" s="182">
        <v>0</v>
      </c>
      <c r="K236" s="182">
        <v>0.17380000000000001</v>
      </c>
    </row>
    <row r="237" spans="1:12" x14ac:dyDescent="0.25">
      <c r="A237" s="274"/>
      <c r="B237" s="178"/>
      <c r="C237" s="178"/>
      <c r="D237" s="182">
        <v>1.58189</v>
      </c>
      <c r="E237" s="179" t="s">
        <v>333</v>
      </c>
      <c r="F237" s="186">
        <f t="shared" si="8"/>
        <v>1.58189</v>
      </c>
      <c r="G237" s="178"/>
      <c r="H237" s="178"/>
      <c r="I237" s="179" t="s">
        <v>333</v>
      </c>
      <c r="J237" s="182">
        <v>1.58189</v>
      </c>
      <c r="K237" s="182">
        <v>0</v>
      </c>
    </row>
    <row r="238" spans="1:12" x14ac:dyDescent="0.25">
      <c r="A238" s="274"/>
      <c r="B238" s="178"/>
      <c r="C238" s="178"/>
      <c r="D238" s="182">
        <f>1.58189+2.64825</f>
        <v>4.2301400000000005</v>
      </c>
      <c r="E238" s="179" t="s">
        <v>89</v>
      </c>
      <c r="F238" s="186">
        <f t="shared" si="8"/>
        <v>4.2301400000000005</v>
      </c>
      <c r="G238" s="178"/>
      <c r="H238" s="178"/>
      <c r="I238" s="179" t="s">
        <v>89</v>
      </c>
      <c r="J238" s="182">
        <f>1.58189+2.354</f>
        <v>3.9358900000000001</v>
      </c>
      <c r="K238" s="182">
        <v>0.29399999999999998</v>
      </c>
    </row>
    <row r="239" spans="1:12" ht="30" x14ac:dyDescent="0.25">
      <c r="A239" s="274"/>
      <c r="B239" s="178"/>
      <c r="C239" s="178"/>
      <c r="D239" s="182">
        <v>16.827999999999999</v>
      </c>
      <c r="E239" s="179" t="s">
        <v>336</v>
      </c>
      <c r="F239" s="186">
        <f t="shared" si="8"/>
        <v>16.827999999999999</v>
      </c>
      <c r="G239" s="178"/>
      <c r="H239" s="178"/>
      <c r="I239" s="179" t="s">
        <v>336</v>
      </c>
      <c r="J239" s="182">
        <f>3.3055+3.9065+3.005+3.606+2.404</f>
        <v>16.226999999999997</v>
      </c>
      <c r="K239" s="182">
        <v>0.60099999999999998</v>
      </c>
    </row>
    <row r="240" spans="1:12" x14ac:dyDescent="0.25">
      <c r="A240" s="274"/>
      <c r="B240" s="178"/>
      <c r="C240" s="178"/>
      <c r="D240" s="182">
        <v>2.4762300000000002</v>
      </c>
      <c r="E240" s="179" t="s">
        <v>338</v>
      </c>
      <c r="F240" s="183">
        <f t="shared" si="8"/>
        <v>2.4762300000000002</v>
      </c>
      <c r="G240" s="178"/>
      <c r="H240" s="178"/>
      <c r="I240" s="179" t="s">
        <v>338</v>
      </c>
      <c r="J240" s="182">
        <v>2.4266999999999999</v>
      </c>
      <c r="K240" s="182">
        <v>4.9529999999999998E-2</v>
      </c>
    </row>
    <row r="241" spans="1:11" x14ac:dyDescent="0.25">
      <c r="A241" s="274"/>
      <c r="B241" s="178"/>
      <c r="C241" s="178"/>
      <c r="D241" s="182">
        <v>0.45073000000000002</v>
      </c>
      <c r="E241" s="179" t="s">
        <v>94</v>
      </c>
      <c r="F241" s="183">
        <f t="shared" si="8"/>
        <v>0.45073000000000002</v>
      </c>
      <c r="G241" s="178"/>
      <c r="H241" s="178"/>
      <c r="I241" s="179" t="s">
        <v>94</v>
      </c>
      <c r="J241" s="182">
        <v>0.45073000000000002</v>
      </c>
      <c r="K241" s="182">
        <v>0</v>
      </c>
    </row>
    <row r="242" spans="1:11" x14ac:dyDescent="0.25">
      <c r="A242" s="274"/>
      <c r="B242" s="178"/>
      <c r="C242" s="178"/>
      <c r="D242" s="182">
        <f>4.02973</f>
        <v>4.0297299999999998</v>
      </c>
      <c r="E242" s="179" t="s">
        <v>96</v>
      </c>
      <c r="F242" s="183">
        <f t="shared" si="8"/>
        <v>4.0297299999999998</v>
      </c>
      <c r="G242" s="178"/>
      <c r="H242" s="178"/>
      <c r="I242" s="179" t="s">
        <v>96</v>
      </c>
      <c r="J242" s="182">
        <f>4.02973</f>
        <v>4.0297299999999998</v>
      </c>
      <c r="K242" s="182">
        <v>0</v>
      </c>
    </row>
    <row r="243" spans="1:11" x14ac:dyDescent="0.25">
      <c r="A243" s="274"/>
      <c r="B243" s="178"/>
      <c r="C243" s="178"/>
      <c r="D243" s="182">
        <v>8.8410000000000002E-2</v>
      </c>
      <c r="E243" s="179" t="s">
        <v>191</v>
      </c>
      <c r="F243" s="183">
        <f t="shared" si="8"/>
        <v>8.8410000000000002E-2</v>
      </c>
      <c r="G243" s="178"/>
      <c r="H243" s="178"/>
      <c r="I243" s="179" t="s">
        <v>191</v>
      </c>
      <c r="J243" s="182">
        <v>8.8410000000000002E-2</v>
      </c>
      <c r="K243" s="182">
        <v>0</v>
      </c>
    </row>
    <row r="244" spans="1:11" x14ac:dyDescent="0.25">
      <c r="A244" s="274"/>
      <c r="B244" s="178"/>
      <c r="C244" s="178"/>
      <c r="D244" s="182">
        <v>0.23749999999999999</v>
      </c>
      <c r="E244" s="179" t="s">
        <v>192</v>
      </c>
      <c r="F244" s="183">
        <f t="shared" si="8"/>
        <v>0.23749999999999999</v>
      </c>
      <c r="G244" s="178"/>
      <c r="H244" s="178"/>
      <c r="I244" s="179" t="s">
        <v>192</v>
      </c>
      <c r="J244" s="182">
        <v>0.23749999999999999</v>
      </c>
      <c r="K244" s="182">
        <v>0</v>
      </c>
    </row>
    <row r="245" spans="1:11" x14ac:dyDescent="0.25">
      <c r="A245" s="274"/>
      <c r="B245" s="178"/>
      <c r="C245" s="178"/>
      <c r="D245" s="182">
        <v>3.0257000000000001</v>
      </c>
      <c r="E245" s="179" t="s">
        <v>194</v>
      </c>
      <c r="F245" s="183">
        <f t="shared" si="8"/>
        <v>3.0257000000000001</v>
      </c>
      <c r="G245" s="178"/>
      <c r="H245" s="178"/>
      <c r="I245" s="179" t="s">
        <v>194</v>
      </c>
      <c r="J245" s="182">
        <v>2.5824400000000001</v>
      </c>
      <c r="K245" s="182">
        <f>0.44356</f>
        <v>0.44356000000000001</v>
      </c>
    </row>
    <row r="246" spans="1:11" x14ac:dyDescent="0.25">
      <c r="A246" s="274"/>
      <c r="B246" s="178"/>
      <c r="C246" s="178"/>
      <c r="D246" s="182">
        <v>0.67795000000000005</v>
      </c>
      <c r="E246" s="179" t="s">
        <v>339</v>
      </c>
      <c r="F246" s="180">
        <f t="shared" si="8"/>
        <v>0.67795000000000005</v>
      </c>
      <c r="G246" s="178"/>
      <c r="H246" s="178"/>
      <c r="I246" s="179" t="s">
        <v>339</v>
      </c>
      <c r="J246" s="182">
        <f>0.39548</f>
        <v>0.39548</v>
      </c>
      <c r="K246" s="182">
        <v>0.28247</v>
      </c>
    </row>
    <row r="247" spans="1:11" x14ac:dyDescent="0.25">
      <c r="A247" s="274"/>
      <c r="B247" s="178"/>
      <c r="C247" s="178"/>
      <c r="D247" s="182">
        <f>0.11039+0.88312</f>
        <v>0.99351</v>
      </c>
      <c r="E247" s="179" t="s">
        <v>101</v>
      </c>
      <c r="F247" s="180">
        <f t="shared" si="8"/>
        <v>0.99351</v>
      </c>
      <c r="G247" s="178"/>
      <c r="H247" s="178"/>
      <c r="I247" s="179" t="s">
        <v>101</v>
      </c>
      <c r="J247" s="182">
        <f>0.00552+0.78377</f>
        <v>0.78928999999999994</v>
      </c>
      <c r="K247" s="182">
        <f>0.10487+0.09935</f>
        <v>0.20422000000000001</v>
      </c>
    </row>
    <row r="248" spans="1:11" x14ac:dyDescent="0.25">
      <c r="A248" s="274"/>
      <c r="B248" s="178"/>
      <c r="C248" s="178"/>
      <c r="D248" s="182">
        <v>3.0489999999999999</v>
      </c>
      <c r="E248" s="179" t="s">
        <v>199</v>
      </c>
      <c r="F248" s="180">
        <f t="shared" si="8"/>
        <v>3.0489999999999999</v>
      </c>
      <c r="G248" s="178"/>
      <c r="H248" s="178"/>
      <c r="I248" s="179" t="s">
        <v>199</v>
      </c>
      <c r="J248" s="182">
        <v>2.5</v>
      </c>
      <c r="K248" s="182">
        <v>0.54900000000000004</v>
      </c>
    </row>
    <row r="249" spans="1:11" x14ac:dyDescent="0.25">
      <c r="A249" s="274"/>
      <c r="B249" s="178"/>
      <c r="C249" s="178"/>
      <c r="D249" s="182">
        <f>0.27+0.47</f>
        <v>0.74</v>
      </c>
      <c r="E249" s="179" t="s">
        <v>340</v>
      </c>
      <c r="F249" s="180">
        <f t="shared" si="8"/>
        <v>0.74</v>
      </c>
      <c r="G249" s="178"/>
      <c r="H249" s="178"/>
      <c r="I249" s="179" t="s">
        <v>340</v>
      </c>
      <c r="J249" s="182">
        <f>0.27+0.47</f>
        <v>0.74</v>
      </c>
      <c r="K249" s="182">
        <v>0</v>
      </c>
    </row>
    <row r="250" spans="1:11" x14ac:dyDescent="0.25">
      <c r="A250" s="274"/>
      <c r="B250" s="178"/>
      <c r="C250" s="178"/>
      <c r="D250" s="182">
        <v>1.4239999999999999</v>
      </c>
      <c r="E250" s="179" t="s">
        <v>104</v>
      </c>
      <c r="F250" s="180">
        <f t="shared" si="8"/>
        <v>1.4239999999999999</v>
      </c>
      <c r="G250" s="178"/>
      <c r="H250" s="178"/>
      <c r="I250" s="179" t="s">
        <v>104</v>
      </c>
      <c r="J250" s="182">
        <v>0.95960000000000001</v>
      </c>
      <c r="K250" s="182">
        <v>0.46439999999999998</v>
      </c>
    </row>
    <row r="251" spans="1:11" x14ac:dyDescent="0.25">
      <c r="A251" s="274"/>
      <c r="B251" s="178"/>
      <c r="C251" s="178"/>
      <c r="D251" s="182">
        <v>2.762</v>
      </c>
      <c r="E251" s="179" t="s">
        <v>295</v>
      </c>
      <c r="F251" s="180">
        <f t="shared" si="8"/>
        <v>2.762</v>
      </c>
      <c r="G251" s="178"/>
      <c r="H251" s="178"/>
      <c r="I251" s="179" t="s">
        <v>295</v>
      </c>
      <c r="J251" s="182">
        <v>2.508</v>
      </c>
      <c r="K251" s="182">
        <v>0.254</v>
      </c>
    </row>
    <row r="252" spans="1:11" x14ac:dyDescent="0.25">
      <c r="A252" s="274"/>
      <c r="B252" s="178"/>
      <c r="C252" s="178"/>
      <c r="D252" s="182">
        <v>1.5960000000000001</v>
      </c>
      <c r="E252" s="179" t="s">
        <v>341</v>
      </c>
      <c r="F252" s="180">
        <f t="shared" si="8"/>
        <v>1.5960000000000001</v>
      </c>
      <c r="G252" s="178"/>
      <c r="H252" s="178"/>
      <c r="I252" s="179" t="s">
        <v>341</v>
      </c>
      <c r="J252" s="182">
        <v>1.35792</v>
      </c>
      <c r="K252" s="182">
        <v>0.23808000000000001</v>
      </c>
    </row>
    <row r="253" spans="1:11" x14ac:dyDescent="0.25">
      <c r="A253" s="274"/>
      <c r="B253" s="178"/>
      <c r="C253" s="178"/>
      <c r="D253" s="182">
        <v>0.50700000000000001</v>
      </c>
      <c r="E253" s="179" t="s">
        <v>203</v>
      </c>
      <c r="F253" s="180">
        <f t="shared" si="8"/>
        <v>0.50700000000000001</v>
      </c>
      <c r="G253" s="178"/>
      <c r="H253" s="178"/>
      <c r="I253" s="179" t="s">
        <v>203</v>
      </c>
      <c r="J253" s="182">
        <v>0.11999</v>
      </c>
      <c r="K253" s="182">
        <v>0.38701000000000002</v>
      </c>
    </row>
    <row r="254" spans="1:11" x14ac:dyDescent="0.25">
      <c r="A254" s="274"/>
      <c r="B254" s="178"/>
      <c r="C254" s="178"/>
      <c r="D254" s="182">
        <v>1.89</v>
      </c>
      <c r="E254" s="179" t="s">
        <v>202</v>
      </c>
      <c r="F254" s="180">
        <f t="shared" si="8"/>
        <v>1.89</v>
      </c>
      <c r="G254" s="178"/>
      <c r="H254" s="178"/>
      <c r="I254" s="179" t="s">
        <v>202</v>
      </c>
      <c r="J254" s="182">
        <v>1.4775</v>
      </c>
      <c r="K254" s="182">
        <v>0.41249999999999998</v>
      </c>
    </row>
    <row r="255" spans="1:11" x14ac:dyDescent="0.25">
      <c r="A255" s="274"/>
      <c r="B255" s="178"/>
      <c r="C255" s="178"/>
      <c r="D255" s="182">
        <v>1.19</v>
      </c>
      <c r="E255" s="179" t="s">
        <v>295</v>
      </c>
      <c r="F255" s="180">
        <f t="shared" si="8"/>
        <v>1.19</v>
      </c>
      <c r="G255" s="178"/>
      <c r="H255" s="178"/>
      <c r="I255" s="179" t="s">
        <v>295</v>
      </c>
      <c r="J255" s="182">
        <v>0.68498000000000003</v>
      </c>
      <c r="K255" s="182">
        <v>0.50502000000000002</v>
      </c>
    </row>
    <row r="256" spans="1:11" ht="60" x14ac:dyDescent="0.25">
      <c r="A256" s="274"/>
      <c r="B256" s="178"/>
      <c r="C256" s="178"/>
      <c r="D256" s="182">
        <v>10.66572</v>
      </c>
      <c r="E256" s="179" t="s">
        <v>342</v>
      </c>
      <c r="F256" s="180">
        <f t="shared" si="8"/>
        <v>10.66572</v>
      </c>
      <c r="G256" s="178"/>
      <c r="H256" s="178"/>
      <c r="I256" s="179" t="s">
        <v>342</v>
      </c>
      <c r="J256" s="182">
        <v>10.66572</v>
      </c>
      <c r="K256" s="182">
        <v>0</v>
      </c>
    </row>
    <row r="257" spans="1:12" ht="30" x14ac:dyDescent="0.25">
      <c r="A257" s="274"/>
      <c r="B257" s="178"/>
      <c r="C257" s="178"/>
      <c r="D257" s="182">
        <v>12.0084</v>
      </c>
      <c r="E257" s="179" t="s">
        <v>343</v>
      </c>
      <c r="F257" s="180">
        <f t="shared" si="8"/>
        <v>12.0084</v>
      </c>
      <c r="G257" s="178"/>
      <c r="H257" s="178"/>
      <c r="I257" s="179" t="s">
        <v>343</v>
      </c>
      <c r="J257" s="182">
        <v>12.0084</v>
      </c>
      <c r="K257" s="182">
        <v>0</v>
      </c>
    </row>
    <row r="258" spans="1:12" x14ac:dyDescent="0.25">
      <c r="A258" s="274"/>
      <c r="B258" s="178"/>
      <c r="C258" s="178"/>
      <c r="D258" s="182">
        <v>0.23749999999999999</v>
      </c>
      <c r="E258" s="179" t="s">
        <v>344</v>
      </c>
      <c r="F258" s="180">
        <f t="shared" si="8"/>
        <v>0.23749999999999999</v>
      </c>
      <c r="G258" s="178"/>
      <c r="H258" s="178"/>
      <c r="I258" s="179" t="s">
        <v>344</v>
      </c>
      <c r="J258" s="182">
        <f>0.0475</f>
        <v>4.7500000000000001E-2</v>
      </c>
      <c r="K258" s="182">
        <v>0.19</v>
      </c>
    </row>
    <row r="259" spans="1:12" ht="30" x14ac:dyDescent="0.25">
      <c r="A259" s="274"/>
      <c r="B259" s="178"/>
      <c r="C259" s="178"/>
      <c r="D259" s="182">
        <v>0.49434</v>
      </c>
      <c r="E259" s="179" t="s">
        <v>345</v>
      </c>
      <c r="F259" s="180">
        <f t="shared" si="8"/>
        <v>0.49434</v>
      </c>
      <c r="G259" s="178"/>
      <c r="H259" s="178"/>
      <c r="I259" s="179" t="s">
        <v>345</v>
      </c>
      <c r="J259" s="182">
        <v>0.34604000000000001</v>
      </c>
      <c r="K259" s="182">
        <v>0.14829999999999999</v>
      </c>
    </row>
    <row r="260" spans="1:12" ht="39" customHeight="1" x14ac:dyDescent="0.3">
      <c r="A260" s="274"/>
      <c r="B260" s="52" t="s">
        <v>22</v>
      </c>
      <c r="C260" s="178"/>
      <c r="D260" s="182">
        <f>2.756</f>
        <v>2.7559999999999998</v>
      </c>
      <c r="E260" s="184" t="s">
        <v>302</v>
      </c>
      <c r="F260" s="154">
        <f t="shared" si="8"/>
        <v>2.7559999999999998</v>
      </c>
      <c r="G260" s="178"/>
      <c r="H260" s="178"/>
      <c r="I260" s="179" t="s">
        <v>302</v>
      </c>
      <c r="J260" s="182">
        <f>2.756</f>
        <v>2.7559999999999998</v>
      </c>
      <c r="K260" s="150">
        <v>0</v>
      </c>
      <c r="L260" s="38"/>
    </row>
    <row r="261" spans="1:12" x14ac:dyDescent="0.25">
      <c r="A261" s="274"/>
      <c r="B261" s="178"/>
      <c r="C261" s="178"/>
      <c r="D261" s="182">
        <v>0.19900000000000001</v>
      </c>
      <c r="E261" s="185" t="s">
        <v>303</v>
      </c>
      <c r="F261" s="154">
        <f t="shared" si="8"/>
        <v>0.19900000000000001</v>
      </c>
      <c r="G261" s="178"/>
      <c r="H261" s="178"/>
      <c r="I261" s="178" t="s">
        <v>303</v>
      </c>
      <c r="J261" s="182">
        <v>0.19900000000000001</v>
      </c>
      <c r="K261" s="150">
        <v>0</v>
      </c>
      <c r="L261" s="38"/>
    </row>
    <row r="262" spans="1:12" ht="30" x14ac:dyDescent="0.25">
      <c r="A262" s="274"/>
      <c r="B262" s="178"/>
      <c r="C262" s="178"/>
      <c r="D262" s="182">
        <v>10.9</v>
      </c>
      <c r="E262" s="184" t="s">
        <v>304</v>
      </c>
      <c r="F262" s="106">
        <f t="shared" si="8"/>
        <v>10.9</v>
      </c>
      <c r="G262" s="178"/>
      <c r="H262" s="178"/>
      <c r="I262" s="179" t="s">
        <v>304</v>
      </c>
      <c r="J262" s="182">
        <v>10.9</v>
      </c>
      <c r="K262" s="150">
        <v>0</v>
      </c>
      <c r="L262" s="38"/>
    </row>
    <row r="263" spans="1:12" x14ac:dyDescent="0.25">
      <c r="A263" s="274"/>
      <c r="B263" s="178"/>
      <c r="C263" s="178"/>
      <c r="D263" s="182">
        <v>0.70299999999999996</v>
      </c>
      <c r="E263" s="185" t="s">
        <v>305</v>
      </c>
      <c r="F263" s="106">
        <f t="shared" si="8"/>
        <v>0.70299999999999996</v>
      </c>
      <c r="G263" s="178"/>
      <c r="H263" s="178"/>
      <c r="I263" s="178" t="s">
        <v>305</v>
      </c>
      <c r="J263" s="182">
        <v>0.70299999999999996</v>
      </c>
      <c r="K263" s="150">
        <v>0</v>
      </c>
      <c r="L263" s="38"/>
    </row>
    <row r="264" spans="1:12" x14ac:dyDescent="0.25">
      <c r="A264" s="274"/>
      <c r="B264" s="178"/>
      <c r="C264" s="178"/>
      <c r="D264" s="182">
        <v>0.14000000000000001</v>
      </c>
      <c r="E264" s="185" t="s">
        <v>308</v>
      </c>
      <c r="F264" s="106">
        <f t="shared" si="8"/>
        <v>0.14000000000000001</v>
      </c>
      <c r="G264" s="178"/>
      <c r="H264" s="178"/>
      <c r="I264" s="178" t="s">
        <v>308</v>
      </c>
      <c r="J264" s="182">
        <v>0.14000000000000001</v>
      </c>
      <c r="K264" s="150">
        <v>0</v>
      </c>
      <c r="L264" s="38"/>
    </row>
    <row r="265" spans="1:12" x14ac:dyDescent="0.25">
      <c r="A265" s="274"/>
      <c r="B265" s="178"/>
      <c r="C265" s="178"/>
      <c r="D265" s="182">
        <v>0.76800000000000002</v>
      </c>
      <c r="E265" s="185" t="s">
        <v>309</v>
      </c>
      <c r="F265" s="106">
        <f t="shared" si="8"/>
        <v>0.76800000000000002</v>
      </c>
      <c r="G265" s="178"/>
      <c r="H265" s="178"/>
      <c r="I265" s="178" t="s">
        <v>309</v>
      </c>
      <c r="J265" s="182">
        <v>0.76800000000000002</v>
      </c>
      <c r="K265" s="150">
        <v>0</v>
      </c>
      <c r="L265" s="38"/>
    </row>
    <row r="266" spans="1:12" x14ac:dyDescent="0.25">
      <c r="A266" s="274"/>
      <c r="B266" s="178"/>
      <c r="C266" s="178"/>
      <c r="D266" s="182">
        <v>4.37</v>
      </c>
      <c r="E266" s="185" t="s">
        <v>314</v>
      </c>
      <c r="F266" s="106">
        <f t="shared" si="8"/>
        <v>4.37</v>
      </c>
      <c r="G266" s="178"/>
      <c r="H266" s="178"/>
      <c r="I266" s="178" t="s">
        <v>314</v>
      </c>
      <c r="J266" s="182">
        <v>4.37</v>
      </c>
      <c r="K266" s="150">
        <v>0</v>
      </c>
      <c r="L266" s="38"/>
    </row>
    <row r="267" spans="1:12" x14ac:dyDescent="0.25">
      <c r="A267" s="274"/>
      <c r="B267" s="178"/>
      <c r="C267" s="178"/>
      <c r="D267" s="182">
        <v>0.56200000000000006</v>
      </c>
      <c r="E267" s="185" t="s">
        <v>315</v>
      </c>
      <c r="F267" s="106">
        <f t="shared" si="8"/>
        <v>0.56200000000000006</v>
      </c>
      <c r="G267" s="178"/>
      <c r="H267" s="178"/>
      <c r="I267" s="178" t="s">
        <v>315</v>
      </c>
      <c r="J267" s="182">
        <v>0.56200000000000006</v>
      </c>
      <c r="K267" s="150">
        <v>0</v>
      </c>
      <c r="L267" s="38"/>
    </row>
    <row r="268" spans="1:12" ht="30" customHeight="1" x14ac:dyDescent="0.25">
      <c r="A268" s="274"/>
      <c r="B268" s="178"/>
      <c r="C268" s="178"/>
      <c r="D268" s="182">
        <v>16.291</v>
      </c>
      <c r="E268" s="184" t="s">
        <v>316</v>
      </c>
      <c r="F268" s="106">
        <f t="shared" si="8"/>
        <v>16.291</v>
      </c>
      <c r="G268" s="178"/>
      <c r="H268" s="178"/>
      <c r="I268" s="179" t="s">
        <v>316</v>
      </c>
      <c r="J268" s="182">
        <v>16.291</v>
      </c>
      <c r="K268" s="150">
        <v>0</v>
      </c>
      <c r="L268" s="38"/>
    </row>
    <row r="269" spans="1:12" ht="30" x14ac:dyDescent="0.25">
      <c r="A269" s="274"/>
      <c r="B269" s="178"/>
      <c r="C269" s="178"/>
      <c r="D269" s="182">
        <f>1.407</f>
        <v>1.407</v>
      </c>
      <c r="E269" s="184" t="s">
        <v>319</v>
      </c>
      <c r="F269" s="106">
        <f t="shared" si="8"/>
        <v>1.407</v>
      </c>
      <c r="G269" s="178"/>
      <c r="H269" s="178"/>
      <c r="I269" s="179" t="s">
        <v>319</v>
      </c>
      <c r="J269" s="182">
        <f>1.407</f>
        <v>1.407</v>
      </c>
      <c r="K269" s="150">
        <v>0</v>
      </c>
      <c r="L269" s="38"/>
    </row>
    <row r="270" spans="1:12" ht="30" x14ac:dyDescent="0.25">
      <c r="A270" s="274"/>
      <c r="B270" s="178"/>
      <c r="C270" s="178"/>
      <c r="D270" s="182">
        <v>11.445</v>
      </c>
      <c r="E270" s="184" t="s">
        <v>321</v>
      </c>
      <c r="F270" s="106">
        <f t="shared" si="8"/>
        <v>11.445</v>
      </c>
      <c r="G270" s="178"/>
      <c r="H270" s="178"/>
      <c r="I270" s="179" t="s">
        <v>321</v>
      </c>
      <c r="J270" s="182">
        <v>11.445</v>
      </c>
      <c r="K270" s="150">
        <v>0</v>
      </c>
      <c r="L270" s="38"/>
    </row>
    <row r="271" spans="1:12" ht="27.75" customHeight="1" x14ac:dyDescent="0.25">
      <c r="A271" s="274"/>
      <c r="B271" s="178"/>
      <c r="C271" s="178"/>
      <c r="D271" s="182">
        <v>1.0620000000000001</v>
      </c>
      <c r="E271" s="184" t="s">
        <v>326</v>
      </c>
      <c r="F271" s="106">
        <f t="shared" si="8"/>
        <v>1.0620000000000001</v>
      </c>
      <c r="G271" s="178"/>
      <c r="H271" s="178"/>
      <c r="I271" s="179" t="s">
        <v>326</v>
      </c>
      <c r="J271" s="182">
        <v>1.0620000000000001</v>
      </c>
      <c r="K271" s="150">
        <v>0</v>
      </c>
      <c r="L271" s="38"/>
    </row>
    <row r="272" spans="1:12" ht="30" x14ac:dyDescent="0.25">
      <c r="A272" s="274"/>
      <c r="B272" s="178"/>
      <c r="C272" s="178"/>
      <c r="D272" s="182">
        <v>0.3</v>
      </c>
      <c r="E272" s="184" t="s">
        <v>144</v>
      </c>
      <c r="F272" s="106">
        <f t="shared" si="8"/>
        <v>0.3</v>
      </c>
      <c r="G272" s="178"/>
      <c r="H272" s="178"/>
      <c r="I272" s="179" t="s">
        <v>144</v>
      </c>
      <c r="J272" s="182">
        <v>0.3</v>
      </c>
      <c r="K272" s="150">
        <v>0</v>
      </c>
      <c r="L272" s="38"/>
    </row>
    <row r="273" spans="1:11" x14ac:dyDescent="0.25">
      <c r="A273" s="274"/>
      <c r="B273" s="178"/>
      <c r="C273" s="178"/>
      <c r="D273" s="182">
        <v>0.60799999999999998</v>
      </c>
      <c r="E273" s="184" t="s">
        <v>145</v>
      </c>
      <c r="F273" s="183">
        <f t="shared" si="8"/>
        <v>0.60799999999999998</v>
      </c>
      <c r="G273" s="178"/>
      <c r="H273" s="178"/>
      <c r="I273" s="179" t="s">
        <v>145</v>
      </c>
      <c r="J273" s="182">
        <v>0.60799999999999998</v>
      </c>
      <c r="K273" s="182">
        <v>0</v>
      </c>
    </row>
    <row r="274" spans="1:11" ht="30" x14ac:dyDescent="0.25">
      <c r="A274" s="274"/>
      <c r="B274" s="178"/>
      <c r="C274" s="178"/>
      <c r="D274" s="182">
        <f>0.29+0.304</f>
        <v>0.59399999999999997</v>
      </c>
      <c r="E274" s="184" t="s">
        <v>328</v>
      </c>
      <c r="F274" s="183">
        <f t="shared" si="8"/>
        <v>0.59399999999999997</v>
      </c>
      <c r="G274" s="178"/>
      <c r="H274" s="178"/>
      <c r="I274" s="179" t="s">
        <v>328</v>
      </c>
      <c r="J274" s="182">
        <f>0.29+0.304</f>
        <v>0.59399999999999997</v>
      </c>
      <c r="K274" s="182">
        <v>0</v>
      </c>
    </row>
    <row r="275" spans="1:11" ht="30" x14ac:dyDescent="0.25">
      <c r="A275" s="274"/>
      <c r="B275" s="178"/>
      <c r="C275" s="178"/>
      <c r="D275" s="182">
        <v>0.52500000000000002</v>
      </c>
      <c r="E275" s="184" t="s">
        <v>329</v>
      </c>
      <c r="F275" s="183">
        <f t="shared" si="8"/>
        <v>0.52500000000000002</v>
      </c>
      <c r="G275" s="178"/>
      <c r="H275" s="178"/>
      <c r="I275" s="179" t="s">
        <v>329</v>
      </c>
      <c r="J275" s="182">
        <v>0.52500000000000002</v>
      </c>
      <c r="K275" s="182">
        <v>0</v>
      </c>
    </row>
    <row r="276" spans="1:11" x14ac:dyDescent="0.25">
      <c r="A276" s="274"/>
      <c r="B276" s="178"/>
      <c r="C276" s="178"/>
      <c r="D276" s="182">
        <v>0.39800000000000002</v>
      </c>
      <c r="E276" s="184" t="s">
        <v>332</v>
      </c>
      <c r="F276" s="186">
        <f t="shared" si="8"/>
        <v>0.39800000000000002</v>
      </c>
      <c r="G276" s="178"/>
      <c r="H276" s="178"/>
      <c r="I276" s="179" t="s">
        <v>332</v>
      </c>
      <c r="J276" s="182">
        <v>0.39800000000000002</v>
      </c>
      <c r="K276" s="182">
        <v>0</v>
      </c>
    </row>
    <row r="277" spans="1:11" x14ac:dyDescent="0.25">
      <c r="A277" s="274"/>
      <c r="B277" s="178"/>
      <c r="C277" s="178"/>
      <c r="D277" s="182">
        <f>1.066+0.57</f>
        <v>1.6360000000000001</v>
      </c>
      <c r="E277" s="184" t="s">
        <v>334</v>
      </c>
      <c r="F277" s="186">
        <f t="shared" si="8"/>
        <v>1.6360000000000001</v>
      </c>
      <c r="G277" s="178"/>
      <c r="H277" s="178"/>
      <c r="I277" s="179" t="s">
        <v>334</v>
      </c>
      <c r="J277" s="182">
        <f>1.066+0.57</f>
        <v>1.6360000000000001</v>
      </c>
      <c r="K277" s="182">
        <v>0</v>
      </c>
    </row>
    <row r="278" spans="1:11" ht="33.75" customHeight="1" x14ac:dyDescent="0.25">
      <c r="A278" s="274"/>
      <c r="B278" s="178"/>
      <c r="C278" s="178"/>
      <c r="D278" s="182">
        <v>0.14699999999999999</v>
      </c>
      <c r="E278" s="184" t="s">
        <v>335</v>
      </c>
      <c r="F278" s="186">
        <f t="shared" si="8"/>
        <v>0.14699999999999999</v>
      </c>
      <c r="G278" s="178"/>
      <c r="H278" s="178"/>
      <c r="I278" s="179" t="s">
        <v>335</v>
      </c>
      <c r="J278" s="182">
        <v>0.14699999999999999</v>
      </c>
      <c r="K278" s="182">
        <v>0</v>
      </c>
    </row>
    <row r="279" spans="1:11" x14ac:dyDescent="0.25">
      <c r="A279" s="274"/>
      <c r="B279" s="178"/>
      <c r="C279" s="178"/>
      <c r="D279" s="182">
        <v>2.75</v>
      </c>
      <c r="E279" s="184" t="s">
        <v>43</v>
      </c>
      <c r="F279" s="186">
        <f t="shared" si="8"/>
        <v>2.75</v>
      </c>
      <c r="G279" s="178"/>
      <c r="H279" s="178"/>
      <c r="I279" s="179" t="s">
        <v>43</v>
      </c>
      <c r="J279" s="182">
        <v>2.75</v>
      </c>
      <c r="K279" s="182">
        <v>0</v>
      </c>
    </row>
    <row r="280" spans="1:11" ht="30" x14ac:dyDescent="0.25">
      <c r="A280" s="274"/>
      <c r="B280" s="178"/>
      <c r="C280" s="178"/>
      <c r="D280" s="182">
        <v>2.387</v>
      </c>
      <c r="E280" s="184" t="s">
        <v>337</v>
      </c>
      <c r="F280" s="186">
        <f t="shared" si="8"/>
        <v>2.387</v>
      </c>
      <c r="G280" s="178"/>
      <c r="H280" s="178"/>
      <c r="I280" s="179" t="s">
        <v>337</v>
      </c>
      <c r="J280" s="182">
        <v>2.387</v>
      </c>
      <c r="K280" s="182">
        <v>0</v>
      </c>
    </row>
    <row r="281" spans="1:11" x14ac:dyDescent="0.25">
      <c r="A281" s="274"/>
      <c r="B281" s="178"/>
      <c r="C281" s="178"/>
      <c r="D281" s="182">
        <v>0.59799999999999998</v>
      </c>
      <c r="E281" s="184" t="s">
        <v>41</v>
      </c>
      <c r="F281" s="186">
        <f t="shared" si="8"/>
        <v>0.59799999999999998</v>
      </c>
      <c r="G281" s="178"/>
      <c r="H281" s="178"/>
      <c r="I281" s="179" t="s">
        <v>41</v>
      </c>
      <c r="J281" s="182">
        <v>0.59799999999999998</v>
      </c>
      <c r="K281" s="182">
        <v>0</v>
      </c>
    </row>
    <row r="282" spans="1:11" x14ac:dyDescent="0.25">
      <c r="A282" s="274"/>
      <c r="B282" s="60" t="s">
        <v>129</v>
      </c>
      <c r="C282" s="168">
        <v>13.34</v>
      </c>
      <c r="D282" s="140"/>
      <c r="E282" s="167"/>
      <c r="F282" s="168">
        <f>C282</f>
        <v>13.34</v>
      </c>
      <c r="G282" s="178"/>
      <c r="H282" s="178"/>
      <c r="I282" s="179"/>
      <c r="J282" s="182"/>
      <c r="K282" s="169">
        <v>13.34</v>
      </c>
    </row>
    <row r="283" spans="1:11" x14ac:dyDescent="0.25">
      <c r="A283" s="262" t="s">
        <v>15</v>
      </c>
      <c r="B283" s="178"/>
      <c r="C283" s="178"/>
      <c r="D283" s="183">
        <f>3.0067+0.45229</f>
        <v>3.45899</v>
      </c>
      <c r="E283" s="178" t="s">
        <v>353</v>
      </c>
      <c r="F283" s="181">
        <f t="shared" ref="F283:F345" si="9">D283</f>
        <v>3.45899</v>
      </c>
      <c r="G283" s="178"/>
      <c r="H283" s="178"/>
      <c r="I283" s="178" t="s">
        <v>353</v>
      </c>
      <c r="J283" s="182">
        <f>2.70603+0.45229</f>
        <v>3.1583200000000002</v>
      </c>
      <c r="K283" s="182">
        <v>0.30066999999999999</v>
      </c>
    </row>
    <row r="284" spans="1:11" ht="75" x14ac:dyDescent="0.3">
      <c r="A284" s="266"/>
      <c r="B284" s="52" t="s">
        <v>47</v>
      </c>
      <c r="C284" s="178"/>
      <c r="D284" s="183">
        <f>0.18694+0.02404</f>
        <v>0.21098</v>
      </c>
      <c r="E284" s="178" t="s">
        <v>149</v>
      </c>
      <c r="F284" s="181">
        <f t="shared" si="9"/>
        <v>0.21098</v>
      </c>
      <c r="G284" s="178"/>
      <c r="H284" s="178"/>
      <c r="I284" s="178" t="s">
        <v>149</v>
      </c>
      <c r="J284" s="182">
        <f>0.0673+0.02404</f>
        <v>9.1340000000000005E-2</v>
      </c>
      <c r="K284" s="182">
        <f>0.11964</f>
        <v>0.11964</v>
      </c>
    </row>
    <row r="285" spans="1:11" ht="30" x14ac:dyDescent="0.25">
      <c r="A285" s="266"/>
      <c r="B285" s="178"/>
      <c r="C285" s="178"/>
      <c r="D285" s="183">
        <f>0.84045+0.84045+0.84045+0.84045</f>
        <v>3.3618000000000001</v>
      </c>
      <c r="E285" s="179" t="s">
        <v>354</v>
      </c>
      <c r="F285" s="181">
        <f t="shared" si="9"/>
        <v>3.3618000000000001</v>
      </c>
      <c r="G285" s="178"/>
      <c r="H285" s="178"/>
      <c r="I285" s="179" t="s">
        <v>354</v>
      </c>
      <c r="J285" s="182">
        <v>0</v>
      </c>
      <c r="K285" s="182">
        <f>0.84045+0.84045+0.84045+0.84045</f>
        <v>3.3618000000000001</v>
      </c>
    </row>
    <row r="286" spans="1:11" ht="30" x14ac:dyDescent="0.25">
      <c r="A286" s="266"/>
      <c r="B286" s="178"/>
      <c r="C286" s="178"/>
      <c r="D286" s="183">
        <v>0.49</v>
      </c>
      <c r="E286" s="179" t="s">
        <v>355</v>
      </c>
      <c r="F286" s="181">
        <f t="shared" si="9"/>
        <v>0.49</v>
      </c>
      <c r="G286" s="178"/>
      <c r="H286" s="178"/>
      <c r="I286" s="179" t="s">
        <v>355</v>
      </c>
      <c r="J286" s="182">
        <v>0.36749999999999999</v>
      </c>
      <c r="K286" s="182">
        <v>0.1225</v>
      </c>
    </row>
    <row r="287" spans="1:11" x14ac:dyDescent="0.25">
      <c r="A287" s="266"/>
      <c r="B287" s="178"/>
      <c r="C287" s="178"/>
      <c r="D287" s="183">
        <f>0.091+0.138</f>
        <v>0.22900000000000001</v>
      </c>
      <c r="E287" s="178" t="s">
        <v>151</v>
      </c>
      <c r="F287" s="181">
        <f t="shared" si="9"/>
        <v>0.22900000000000001</v>
      </c>
      <c r="G287" s="178"/>
      <c r="H287" s="178"/>
      <c r="I287" s="178" t="s">
        <v>151</v>
      </c>
      <c r="J287" s="182">
        <f>0.00273+0.138</f>
        <v>0.14073000000000002</v>
      </c>
      <c r="K287" s="182">
        <v>8.8270000000000001E-2</v>
      </c>
    </row>
    <row r="288" spans="1:11" x14ac:dyDescent="0.25">
      <c r="A288" s="266"/>
      <c r="B288" s="178"/>
      <c r="C288" s="178"/>
      <c r="D288" s="183">
        <f>0.26037+0.273</f>
        <v>0.53337000000000001</v>
      </c>
      <c r="E288" s="178" t="s">
        <v>55</v>
      </c>
      <c r="F288" s="181">
        <f t="shared" si="9"/>
        <v>0.53337000000000001</v>
      </c>
      <c r="G288" s="178"/>
      <c r="H288" s="178"/>
      <c r="I288" s="178" t="s">
        <v>55</v>
      </c>
      <c r="J288" s="182">
        <v>0.27300000000000002</v>
      </c>
      <c r="K288" s="182">
        <f>0.26037</f>
        <v>0.26036999999999999</v>
      </c>
    </row>
    <row r="289" spans="1:11" x14ac:dyDescent="0.25">
      <c r="A289" s="266"/>
      <c r="B289" s="178"/>
      <c r="C289" s="178"/>
      <c r="D289" s="183">
        <f>1.125+0.0809</f>
        <v>1.2059</v>
      </c>
      <c r="E289" s="178" t="s">
        <v>56</v>
      </c>
      <c r="F289" s="181">
        <f t="shared" si="9"/>
        <v>1.2059</v>
      </c>
      <c r="G289" s="178"/>
      <c r="H289" s="178"/>
      <c r="I289" s="178" t="s">
        <v>56</v>
      </c>
      <c r="J289" s="182">
        <v>0</v>
      </c>
      <c r="K289" s="182">
        <f>1.125+0.0809</f>
        <v>1.2059</v>
      </c>
    </row>
    <row r="290" spans="1:11" ht="30" x14ac:dyDescent="0.25">
      <c r="A290" s="266"/>
      <c r="B290" s="178"/>
      <c r="C290" s="178"/>
      <c r="D290" s="183">
        <f>0.1392</f>
        <v>0.13919999999999999</v>
      </c>
      <c r="E290" s="179" t="s">
        <v>356</v>
      </c>
      <c r="F290" s="181">
        <f t="shared" si="9"/>
        <v>0.13919999999999999</v>
      </c>
      <c r="G290" s="178"/>
      <c r="H290" s="178"/>
      <c r="I290" s="179" t="s">
        <v>356</v>
      </c>
      <c r="J290" s="182">
        <f>0.1392</f>
        <v>0.13919999999999999</v>
      </c>
      <c r="K290" s="182">
        <v>0</v>
      </c>
    </row>
    <row r="291" spans="1:11" x14ac:dyDescent="0.25">
      <c r="A291" s="266"/>
      <c r="B291" s="178"/>
      <c r="C291" s="178"/>
      <c r="D291" s="183">
        <f>0.5184+1.296</f>
        <v>1.8144</v>
      </c>
      <c r="E291" s="178" t="s">
        <v>357</v>
      </c>
      <c r="F291" s="181">
        <f t="shared" si="9"/>
        <v>1.8144</v>
      </c>
      <c r="G291" s="178"/>
      <c r="H291" s="178"/>
      <c r="I291" s="178" t="s">
        <v>357</v>
      </c>
      <c r="J291" s="182">
        <v>1.0367999999999999</v>
      </c>
      <c r="K291" s="182">
        <f>0.2592+0.5184</f>
        <v>0.77759999999999996</v>
      </c>
    </row>
    <row r="292" spans="1:11" x14ac:dyDescent="0.25">
      <c r="A292" s="266"/>
      <c r="B292" s="178"/>
      <c r="C292" s="178"/>
      <c r="D292" s="183">
        <f>1.31685</f>
        <v>1.3168500000000001</v>
      </c>
      <c r="E292" s="178" t="s">
        <v>58</v>
      </c>
      <c r="F292" s="181">
        <f t="shared" si="9"/>
        <v>1.3168500000000001</v>
      </c>
      <c r="G292" s="178"/>
      <c r="H292" s="178"/>
      <c r="I292" s="178" t="s">
        <v>58</v>
      </c>
      <c r="J292" s="182">
        <f>0.39506</f>
        <v>0.39506000000000002</v>
      </c>
      <c r="K292" s="182">
        <v>0.92179</v>
      </c>
    </row>
    <row r="293" spans="1:11" ht="30" x14ac:dyDescent="0.25">
      <c r="A293" s="266"/>
      <c r="B293" s="178"/>
      <c r="C293" s="178"/>
      <c r="D293" s="183">
        <f>0.18558</f>
        <v>0.18557999999999999</v>
      </c>
      <c r="E293" s="179" t="s">
        <v>358</v>
      </c>
      <c r="F293" s="181">
        <f t="shared" si="9"/>
        <v>0.18557999999999999</v>
      </c>
      <c r="G293" s="178"/>
      <c r="H293" s="178"/>
      <c r="I293" s="179" t="s">
        <v>358</v>
      </c>
      <c r="J293" s="182">
        <f>0.09279</f>
        <v>9.2789999999999997E-2</v>
      </c>
      <c r="K293" s="182">
        <v>9.2789999999999997E-2</v>
      </c>
    </row>
    <row r="294" spans="1:11" ht="30" x14ac:dyDescent="0.25">
      <c r="A294" s="266"/>
      <c r="B294" s="178"/>
      <c r="C294" s="178"/>
      <c r="D294" s="183">
        <v>0.60026999999999997</v>
      </c>
      <c r="E294" s="179" t="s">
        <v>312</v>
      </c>
      <c r="F294" s="181">
        <f t="shared" si="9"/>
        <v>0.60026999999999997</v>
      </c>
      <c r="G294" s="178"/>
      <c r="H294" s="178"/>
      <c r="I294" s="179" t="s">
        <v>312</v>
      </c>
      <c r="J294" s="182">
        <v>0.49434</v>
      </c>
      <c r="K294" s="182">
        <f>0.10593</f>
        <v>0.10593</v>
      </c>
    </row>
    <row r="295" spans="1:11" x14ac:dyDescent="0.25">
      <c r="A295" s="266"/>
      <c r="B295" s="178"/>
      <c r="C295" s="178"/>
      <c r="D295" s="183">
        <f>0.0425</f>
        <v>4.2500000000000003E-2</v>
      </c>
      <c r="E295" s="178" t="s">
        <v>359</v>
      </c>
      <c r="F295" s="181">
        <f t="shared" si="9"/>
        <v>4.2500000000000003E-2</v>
      </c>
      <c r="G295" s="178"/>
      <c r="H295" s="178"/>
      <c r="I295" s="178" t="s">
        <v>359</v>
      </c>
      <c r="J295" s="182">
        <v>2.8330000000000001E-2</v>
      </c>
      <c r="K295" s="182">
        <f>0.01417</f>
        <v>1.417E-2</v>
      </c>
    </row>
    <row r="296" spans="1:11" x14ac:dyDescent="0.25">
      <c r="A296" s="266"/>
      <c r="B296" s="178"/>
      <c r="C296" s="178"/>
      <c r="D296" s="183">
        <v>0.21892</v>
      </c>
      <c r="E296" s="178" t="s">
        <v>109</v>
      </c>
      <c r="F296" s="181">
        <f t="shared" si="9"/>
        <v>0.21892</v>
      </c>
      <c r="G296" s="178"/>
      <c r="H296" s="178"/>
      <c r="I296" s="178" t="s">
        <v>109</v>
      </c>
      <c r="J296" s="182">
        <v>8.7559999999999999E-2</v>
      </c>
      <c r="K296" s="182">
        <v>0.13136</v>
      </c>
    </row>
    <row r="297" spans="1:11" x14ac:dyDescent="0.25">
      <c r="A297" s="266"/>
      <c r="B297" s="178"/>
      <c r="C297" s="178"/>
      <c r="D297" s="183">
        <f>4.38785</f>
        <v>4.3878500000000003</v>
      </c>
      <c r="E297" s="178" t="s">
        <v>159</v>
      </c>
      <c r="F297" s="181">
        <f t="shared" si="9"/>
        <v>4.3878500000000003</v>
      </c>
      <c r="G297" s="178"/>
      <c r="H297" s="178"/>
      <c r="I297" s="178" t="s">
        <v>159</v>
      </c>
      <c r="J297" s="182">
        <f>2.30224</f>
        <v>2.3022399999999998</v>
      </c>
      <c r="K297" s="182">
        <f>2.08561</f>
        <v>2.08561</v>
      </c>
    </row>
    <row r="298" spans="1:11" x14ac:dyDescent="0.25">
      <c r="A298" s="266"/>
      <c r="B298" s="178"/>
      <c r="C298" s="178"/>
      <c r="D298" s="183">
        <f>31.97318</f>
        <v>31.973179999999999</v>
      </c>
      <c r="E298" s="178" t="s">
        <v>160</v>
      </c>
      <c r="F298" s="181">
        <f t="shared" si="9"/>
        <v>31.973179999999999</v>
      </c>
      <c r="G298" s="178"/>
      <c r="H298" s="178"/>
      <c r="I298" s="178" t="s">
        <v>160</v>
      </c>
      <c r="J298" s="182">
        <f>21.66656</f>
        <v>21.66656</v>
      </c>
      <c r="K298" s="182">
        <f>10.30662</f>
        <v>10.306620000000001</v>
      </c>
    </row>
    <row r="299" spans="1:11" ht="30" x14ac:dyDescent="0.25">
      <c r="A299" s="266"/>
      <c r="B299" s="178"/>
      <c r="C299" s="178"/>
      <c r="D299" s="183">
        <f>0.11096</f>
        <v>0.11096</v>
      </c>
      <c r="E299" s="179" t="s">
        <v>360</v>
      </c>
      <c r="F299" s="181">
        <f t="shared" si="9"/>
        <v>0.11096</v>
      </c>
      <c r="G299" s="178"/>
      <c r="H299" s="178"/>
      <c r="I299" s="179" t="s">
        <v>360</v>
      </c>
      <c r="J299" s="182">
        <v>0</v>
      </c>
      <c r="K299" s="182">
        <v>0.11096</v>
      </c>
    </row>
    <row r="300" spans="1:11" x14ac:dyDescent="0.25">
      <c r="A300" s="266"/>
      <c r="B300" s="178"/>
      <c r="C300" s="178"/>
      <c r="D300" s="183">
        <f>0.11556</f>
        <v>0.11556</v>
      </c>
      <c r="E300" s="178" t="s">
        <v>62</v>
      </c>
      <c r="F300" s="181">
        <f t="shared" si="9"/>
        <v>0.11556</v>
      </c>
      <c r="G300" s="178"/>
      <c r="H300" s="178"/>
      <c r="I300" s="178" t="s">
        <v>62</v>
      </c>
      <c r="J300" s="182">
        <f>0.04237</f>
        <v>4.2369999999999998E-2</v>
      </c>
      <c r="K300" s="182">
        <v>7.3190000000000005E-2</v>
      </c>
    </row>
    <row r="301" spans="1:11" x14ac:dyDescent="0.25">
      <c r="A301" s="266"/>
      <c r="B301" s="178"/>
      <c r="C301" s="178"/>
      <c r="D301" s="183">
        <f>14.31817</f>
        <v>14.31817</v>
      </c>
      <c r="E301" s="178" t="s">
        <v>313</v>
      </c>
      <c r="F301" s="181">
        <f t="shared" si="9"/>
        <v>14.31817</v>
      </c>
      <c r="G301" s="178"/>
      <c r="H301" s="178"/>
      <c r="I301" s="178" t="s">
        <v>313</v>
      </c>
      <c r="J301" s="182">
        <f>10.83042</f>
        <v>10.83042</v>
      </c>
      <c r="K301" s="182">
        <v>3.4877500000000001</v>
      </c>
    </row>
    <row r="302" spans="1:11" x14ac:dyDescent="0.25">
      <c r="A302" s="266"/>
      <c r="B302" s="178"/>
      <c r="C302" s="178"/>
      <c r="D302" s="183">
        <f>2.10148</f>
        <v>2.10148</v>
      </c>
      <c r="E302" s="178" t="s">
        <v>64</v>
      </c>
      <c r="F302" s="181">
        <f t="shared" si="9"/>
        <v>2.10148</v>
      </c>
      <c r="G302" s="178"/>
      <c r="H302" s="178"/>
      <c r="I302" s="178" t="s">
        <v>64</v>
      </c>
      <c r="J302" s="182">
        <v>1.07962</v>
      </c>
      <c r="K302" s="182">
        <v>1.02186</v>
      </c>
    </row>
    <row r="303" spans="1:11" x14ac:dyDescent="0.25">
      <c r="A303" s="266"/>
      <c r="B303" s="178"/>
      <c r="C303" s="178"/>
      <c r="D303" s="183">
        <f>1.466</f>
        <v>1.466</v>
      </c>
      <c r="E303" s="178" t="s">
        <v>361</v>
      </c>
      <c r="F303" s="181">
        <f t="shared" si="9"/>
        <v>1.466</v>
      </c>
      <c r="G303" s="178"/>
      <c r="H303" s="178"/>
      <c r="I303" s="178" t="s">
        <v>361</v>
      </c>
      <c r="J303" s="182">
        <f>0.85761</f>
        <v>0.85760999999999998</v>
      </c>
      <c r="K303" s="182">
        <f>0.60839</f>
        <v>0.60838999999999999</v>
      </c>
    </row>
    <row r="304" spans="1:11" x14ac:dyDescent="0.25">
      <c r="A304" s="266"/>
      <c r="B304" s="178"/>
      <c r="C304" s="178"/>
      <c r="D304" s="183">
        <f>2.5655</f>
        <v>2.5655000000000001</v>
      </c>
      <c r="E304" s="178" t="s">
        <v>362</v>
      </c>
      <c r="F304" s="181">
        <f t="shared" si="9"/>
        <v>2.5655000000000001</v>
      </c>
      <c r="G304" s="178"/>
      <c r="H304" s="178"/>
      <c r="I304" s="178" t="s">
        <v>362</v>
      </c>
      <c r="J304" s="182">
        <f>1.64192</f>
        <v>1.64192</v>
      </c>
      <c r="K304" s="182">
        <f>0.92358</f>
        <v>0.92357999999999996</v>
      </c>
    </row>
    <row r="305" spans="1:11" x14ac:dyDescent="0.25">
      <c r="A305" s="266"/>
      <c r="B305" s="178"/>
      <c r="C305" s="178"/>
      <c r="D305" s="183">
        <f>1.5655</f>
        <v>1.5654999999999999</v>
      </c>
      <c r="E305" s="178" t="s">
        <v>363</v>
      </c>
      <c r="F305" s="181">
        <f t="shared" si="9"/>
        <v>1.5654999999999999</v>
      </c>
      <c r="G305" s="178"/>
      <c r="H305" s="178"/>
      <c r="I305" s="178" t="s">
        <v>363</v>
      </c>
      <c r="J305" s="182">
        <v>0</v>
      </c>
      <c r="K305" s="182">
        <f>1.5655</f>
        <v>1.5654999999999999</v>
      </c>
    </row>
    <row r="306" spans="1:11" x14ac:dyDescent="0.25">
      <c r="A306" s="266"/>
      <c r="B306" s="178"/>
      <c r="C306" s="178"/>
      <c r="D306" s="183">
        <v>4.7173999999999996</v>
      </c>
      <c r="E306" s="178" t="s">
        <v>217</v>
      </c>
      <c r="F306" s="181">
        <f t="shared" si="9"/>
        <v>4.7173999999999996</v>
      </c>
      <c r="G306" s="178"/>
      <c r="H306" s="178"/>
      <c r="I306" s="178" t="s">
        <v>217</v>
      </c>
      <c r="J306" s="182">
        <f>0.9529</f>
        <v>0.95289999999999997</v>
      </c>
      <c r="K306" s="182">
        <f>3.7645</f>
        <v>3.7645</v>
      </c>
    </row>
    <row r="307" spans="1:11" x14ac:dyDescent="0.25">
      <c r="A307" s="266"/>
      <c r="B307" s="178"/>
      <c r="C307" s="178"/>
      <c r="D307" s="183">
        <v>0.36649999999999999</v>
      </c>
      <c r="E307" s="178" t="s">
        <v>364</v>
      </c>
      <c r="F307" s="181">
        <f t="shared" si="9"/>
        <v>0.36649999999999999</v>
      </c>
      <c r="G307" s="178"/>
      <c r="H307" s="178"/>
      <c r="I307" s="178" t="s">
        <v>364</v>
      </c>
      <c r="J307" s="182">
        <v>0</v>
      </c>
      <c r="K307" s="182">
        <v>0.36649999999999999</v>
      </c>
    </row>
    <row r="308" spans="1:11" x14ac:dyDescent="0.25">
      <c r="A308" s="266"/>
      <c r="B308" s="178"/>
      <c r="C308" s="178"/>
      <c r="D308" s="183">
        <f>0.0556</f>
        <v>5.5599999999999997E-2</v>
      </c>
      <c r="E308" s="178" t="s">
        <v>365</v>
      </c>
      <c r="F308" s="181">
        <f t="shared" si="9"/>
        <v>5.5599999999999997E-2</v>
      </c>
      <c r="G308" s="178"/>
      <c r="H308" s="178"/>
      <c r="I308" s="178" t="s">
        <v>365</v>
      </c>
      <c r="J308" s="182">
        <v>0</v>
      </c>
      <c r="K308" s="182">
        <f>0.0556</f>
        <v>5.5599999999999997E-2</v>
      </c>
    </row>
    <row r="309" spans="1:11" x14ac:dyDescent="0.25">
      <c r="A309" s="266"/>
      <c r="B309" s="178"/>
      <c r="C309" s="178"/>
      <c r="D309" s="183">
        <f>0.0556</f>
        <v>5.5599999999999997E-2</v>
      </c>
      <c r="E309" s="178" t="s">
        <v>366</v>
      </c>
      <c r="F309" s="181">
        <f t="shared" si="9"/>
        <v>5.5599999999999997E-2</v>
      </c>
      <c r="G309" s="178"/>
      <c r="H309" s="178"/>
      <c r="I309" s="178" t="s">
        <v>366</v>
      </c>
      <c r="J309" s="182">
        <v>0</v>
      </c>
      <c r="K309" s="182">
        <f>0.0556</f>
        <v>5.5599999999999997E-2</v>
      </c>
    </row>
    <row r="310" spans="1:11" x14ac:dyDescent="0.25">
      <c r="A310" s="266"/>
      <c r="B310" s="178"/>
      <c r="C310" s="178"/>
      <c r="D310" s="183">
        <f>7.95701</f>
        <v>7.9570100000000004</v>
      </c>
      <c r="E310" s="178" t="s">
        <v>218</v>
      </c>
      <c r="F310" s="181">
        <f t="shared" si="9"/>
        <v>7.9570100000000004</v>
      </c>
      <c r="G310" s="178"/>
      <c r="H310" s="178"/>
      <c r="I310" s="178" t="s">
        <v>218</v>
      </c>
      <c r="J310" s="182">
        <v>4.0785799999999997</v>
      </c>
      <c r="K310" s="182">
        <v>3.8784299999999998</v>
      </c>
    </row>
    <row r="311" spans="1:11" x14ac:dyDescent="0.25">
      <c r="A311" s="266"/>
      <c r="B311" s="178"/>
      <c r="C311" s="178"/>
      <c r="D311" s="183">
        <f>4.91484</f>
        <v>4.9148399999999999</v>
      </c>
      <c r="E311" s="178" t="s">
        <v>322</v>
      </c>
      <c r="F311" s="181">
        <f t="shared" si="9"/>
        <v>4.9148399999999999</v>
      </c>
      <c r="G311" s="178"/>
      <c r="H311" s="178"/>
      <c r="I311" s="178" t="s">
        <v>322</v>
      </c>
      <c r="J311" s="182">
        <f>4.91484</f>
        <v>4.9148399999999999</v>
      </c>
      <c r="K311" s="182">
        <v>0</v>
      </c>
    </row>
    <row r="312" spans="1:11" x14ac:dyDescent="0.25">
      <c r="A312" s="266"/>
      <c r="B312" s="178"/>
      <c r="C312" s="178"/>
      <c r="D312" s="183">
        <f>0.1161</f>
        <v>0.11609999999999999</v>
      </c>
      <c r="E312" s="178" t="s">
        <v>164</v>
      </c>
      <c r="F312" s="181">
        <f t="shared" si="9"/>
        <v>0.11609999999999999</v>
      </c>
      <c r="G312" s="178"/>
      <c r="H312" s="178"/>
      <c r="I312" s="178" t="s">
        <v>164</v>
      </c>
      <c r="J312" s="182">
        <v>3.483E-2</v>
      </c>
      <c r="K312" s="182">
        <v>8.1269999999999995E-2</v>
      </c>
    </row>
    <row r="313" spans="1:11" x14ac:dyDescent="0.25">
      <c r="A313" s="266"/>
      <c r="B313" s="178"/>
      <c r="C313" s="178"/>
      <c r="D313" s="183">
        <v>1.34168</v>
      </c>
      <c r="E313" s="178" t="s">
        <v>280</v>
      </c>
      <c r="F313" s="181">
        <f t="shared" si="9"/>
        <v>1.34168</v>
      </c>
      <c r="G313" s="178"/>
      <c r="H313" s="178"/>
      <c r="I313" s="178" t="s">
        <v>280</v>
      </c>
      <c r="J313" s="182">
        <v>0.36527999999999999</v>
      </c>
      <c r="K313" s="182">
        <v>0.97641999999999995</v>
      </c>
    </row>
    <row r="314" spans="1:11" x14ac:dyDescent="0.25">
      <c r="A314" s="266"/>
      <c r="B314" s="178"/>
      <c r="C314" s="178"/>
      <c r="D314" s="183">
        <f>0.29001</f>
        <v>0.29000999999999999</v>
      </c>
      <c r="E314" s="178" t="s">
        <v>367</v>
      </c>
      <c r="F314" s="181">
        <f t="shared" si="9"/>
        <v>0.29000999999999999</v>
      </c>
      <c r="G314" s="178"/>
      <c r="H314" s="178"/>
      <c r="I314" s="178" t="s">
        <v>367</v>
      </c>
      <c r="J314" s="182">
        <v>0</v>
      </c>
      <c r="K314" s="182">
        <f>0.29001</f>
        <v>0.29000999999999999</v>
      </c>
    </row>
    <row r="315" spans="1:11" x14ac:dyDescent="0.25">
      <c r="A315" s="266"/>
      <c r="B315" s="178"/>
      <c r="C315" s="178"/>
      <c r="D315" s="183">
        <f>1.947</f>
        <v>1.9470000000000001</v>
      </c>
      <c r="E315" s="178" t="s">
        <v>368</v>
      </c>
      <c r="F315" s="181">
        <f t="shared" si="9"/>
        <v>1.9470000000000001</v>
      </c>
      <c r="G315" s="178"/>
      <c r="H315" s="178"/>
      <c r="I315" s="178" t="s">
        <v>368</v>
      </c>
      <c r="J315" s="182">
        <f>1.4028</f>
        <v>1.4028</v>
      </c>
      <c r="K315" s="182">
        <v>0.54420000000000002</v>
      </c>
    </row>
    <row r="316" spans="1:11" x14ac:dyDescent="0.25">
      <c r="A316" s="266"/>
      <c r="B316" s="178"/>
      <c r="C316" s="178"/>
      <c r="D316" s="183">
        <f>0.18854</f>
        <v>0.18854000000000001</v>
      </c>
      <c r="E316" s="178" t="s">
        <v>71</v>
      </c>
      <c r="F316" s="181">
        <f t="shared" si="9"/>
        <v>0.18854000000000001</v>
      </c>
      <c r="G316" s="178"/>
      <c r="H316" s="178"/>
      <c r="I316" s="178" t="s">
        <v>71</v>
      </c>
      <c r="J316" s="182">
        <v>0</v>
      </c>
      <c r="K316" s="182">
        <f>0.18854</f>
        <v>0.18854000000000001</v>
      </c>
    </row>
    <row r="317" spans="1:11" x14ac:dyDescent="0.25">
      <c r="A317" s="266"/>
      <c r="B317" s="178"/>
      <c r="C317" s="178"/>
      <c r="D317" s="183">
        <f>0.37543</f>
        <v>0.37542999999999999</v>
      </c>
      <c r="E317" s="178" t="s">
        <v>73</v>
      </c>
      <c r="F317" s="181">
        <f t="shared" si="9"/>
        <v>0.37542999999999999</v>
      </c>
      <c r="G317" s="178"/>
      <c r="H317" s="178"/>
      <c r="I317" s="178" t="s">
        <v>73</v>
      </c>
      <c r="J317" s="182">
        <f>0.07721</f>
        <v>7.7210000000000001E-2</v>
      </c>
      <c r="K317" s="182">
        <v>0.29821999999999999</v>
      </c>
    </row>
    <row r="318" spans="1:11" x14ac:dyDescent="0.25">
      <c r="A318" s="266"/>
      <c r="B318" s="178"/>
      <c r="C318" s="178"/>
      <c r="D318" s="183">
        <f>0.0416</f>
        <v>4.1599999999999998E-2</v>
      </c>
      <c r="E318" s="178" t="s">
        <v>74</v>
      </c>
      <c r="F318" s="181">
        <f t="shared" si="9"/>
        <v>4.1599999999999998E-2</v>
      </c>
      <c r="G318" s="178"/>
      <c r="H318" s="178"/>
      <c r="I318" s="178" t="s">
        <v>74</v>
      </c>
      <c r="J318" s="182">
        <v>0</v>
      </c>
      <c r="K318" s="182">
        <f>0.0416</f>
        <v>4.1599999999999998E-2</v>
      </c>
    </row>
    <row r="319" spans="1:11" x14ac:dyDescent="0.25">
      <c r="A319" s="266"/>
      <c r="B319" s="178"/>
      <c r="C319" s="178"/>
      <c r="D319" s="183">
        <f>1.82642</f>
        <v>1.8264199999999999</v>
      </c>
      <c r="E319" s="178" t="s">
        <v>330</v>
      </c>
      <c r="F319" s="181">
        <f t="shared" si="9"/>
        <v>1.8264199999999999</v>
      </c>
      <c r="G319" s="178"/>
      <c r="H319" s="178"/>
      <c r="I319" s="178" t="s">
        <v>330</v>
      </c>
      <c r="J319" s="182">
        <v>0.99507999999999996</v>
      </c>
      <c r="K319" s="182">
        <v>0.83133999999999997</v>
      </c>
    </row>
    <row r="320" spans="1:11" x14ac:dyDescent="0.25">
      <c r="A320" s="266"/>
      <c r="B320" s="178"/>
      <c r="C320" s="178"/>
      <c r="D320" s="183">
        <f>11.66916+5.90159</f>
        <v>17.57075</v>
      </c>
      <c r="E320" s="178" t="s">
        <v>77</v>
      </c>
      <c r="F320" s="181">
        <f t="shared" si="9"/>
        <v>17.57075</v>
      </c>
      <c r="G320" s="178"/>
      <c r="H320" s="178"/>
      <c r="I320" s="178" t="s">
        <v>77</v>
      </c>
      <c r="J320" s="182">
        <f>11.66916+5.90159</f>
        <v>17.57075</v>
      </c>
      <c r="K320" s="182">
        <v>0</v>
      </c>
    </row>
    <row r="321" spans="1:11" x14ac:dyDescent="0.25">
      <c r="A321" s="266"/>
      <c r="B321" s="178"/>
      <c r="C321" s="178"/>
      <c r="D321" s="183">
        <v>0.84743999999999997</v>
      </c>
      <c r="E321" s="178" t="s">
        <v>78</v>
      </c>
      <c r="F321" s="181">
        <f t="shared" si="9"/>
        <v>0.84743999999999997</v>
      </c>
      <c r="G321" s="178"/>
      <c r="H321" s="178"/>
      <c r="I321" s="178" t="s">
        <v>78</v>
      </c>
      <c r="J321" s="182">
        <v>0.63558000000000003</v>
      </c>
      <c r="K321" s="182">
        <f>0.21186</f>
        <v>0.21185999999999999</v>
      </c>
    </row>
    <row r="322" spans="1:11" x14ac:dyDescent="0.25">
      <c r="A322" s="266"/>
      <c r="B322" s="178"/>
      <c r="C322" s="178"/>
      <c r="D322" s="183">
        <f>0.49434</f>
        <v>0.49434</v>
      </c>
      <c r="E322" s="178" t="s">
        <v>369</v>
      </c>
      <c r="F322" s="181">
        <f t="shared" si="9"/>
        <v>0.49434</v>
      </c>
      <c r="G322" s="178"/>
      <c r="H322" s="178"/>
      <c r="I322" s="178" t="s">
        <v>369</v>
      </c>
      <c r="J322" s="182">
        <f>0.42019</f>
        <v>0.42019000000000001</v>
      </c>
      <c r="K322" s="182">
        <f>0.07415</f>
        <v>7.4149999999999994E-2</v>
      </c>
    </row>
    <row r="323" spans="1:11" ht="30" x14ac:dyDescent="0.25">
      <c r="A323" s="266"/>
      <c r="B323" s="178"/>
      <c r="C323" s="178"/>
      <c r="D323" s="183">
        <v>0.34201999999999999</v>
      </c>
      <c r="E323" s="179" t="s">
        <v>176</v>
      </c>
      <c r="F323" s="181">
        <f t="shared" si="9"/>
        <v>0.34201999999999999</v>
      </c>
      <c r="G323" s="178"/>
      <c r="H323" s="178"/>
      <c r="I323" s="179" t="s">
        <v>176</v>
      </c>
      <c r="J323" s="182">
        <v>0.17044999999999999</v>
      </c>
      <c r="K323" s="182">
        <v>0.17157</v>
      </c>
    </row>
    <row r="324" spans="1:11" x14ac:dyDescent="0.25">
      <c r="A324" s="266"/>
      <c r="B324" s="178"/>
      <c r="C324" s="178"/>
      <c r="D324" s="183">
        <f>0.49144</f>
        <v>0.49143999999999999</v>
      </c>
      <c r="E324" s="178" t="s">
        <v>370</v>
      </c>
      <c r="F324" s="181">
        <f t="shared" si="9"/>
        <v>0.49143999999999999</v>
      </c>
      <c r="G324" s="178"/>
      <c r="H324" s="178"/>
      <c r="I324" s="178" t="s">
        <v>370</v>
      </c>
      <c r="J324" s="182">
        <f>0.03064</f>
        <v>3.0640000000000001E-2</v>
      </c>
      <c r="K324" s="182">
        <f>0.4608</f>
        <v>0.46079999999999999</v>
      </c>
    </row>
    <row r="325" spans="1:11" x14ac:dyDescent="0.25">
      <c r="A325" s="266"/>
      <c r="B325" s="178"/>
      <c r="C325" s="178"/>
      <c r="D325" s="183">
        <f>17.05179</f>
        <v>17.05179</v>
      </c>
      <c r="E325" s="178" t="s">
        <v>89</v>
      </c>
      <c r="F325" s="181">
        <f t="shared" si="9"/>
        <v>17.05179</v>
      </c>
      <c r="G325" s="178"/>
      <c r="H325" s="178"/>
      <c r="I325" s="178" t="s">
        <v>89</v>
      </c>
      <c r="J325" s="182">
        <f>11.57875</f>
        <v>11.578749999999999</v>
      </c>
      <c r="K325" s="182">
        <f>5.47304</f>
        <v>5.4730400000000001</v>
      </c>
    </row>
    <row r="326" spans="1:11" ht="30" x14ac:dyDescent="0.25">
      <c r="A326" s="266"/>
      <c r="B326" s="178"/>
      <c r="C326" s="178"/>
      <c r="D326" s="183">
        <f>35.8605</f>
        <v>35.860500000000002</v>
      </c>
      <c r="E326" s="179" t="s">
        <v>336</v>
      </c>
      <c r="F326" s="181">
        <f t="shared" si="9"/>
        <v>35.860500000000002</v>
      </c>
      <c r="G326" s="178"/>
      <c r="H326" s="178"/>
      <c r="I326" s="179" t="s">
        <v>336</v>
      </c>
      <c r="J326" s="182">
        <f>20.03284</f>
        <v>20.03284</v>
      </c>
      <c r="K326" s="182">
        <f>15.82766</f>
        <v>15.82766</v>
      </c>
    </row>
    <row r="327" spans="1:11" x14ac:dyDescent="0.25">
      <c r="A327" s="266"/>
      <c r="B327" s="178"/>
      <c r="C327" s="178"/>
      <c r="D327" s="183">
        <v>0.30529000000000001</v>
      </c>
      <c r="E327" s="178" t="s">
        <v>371</v>
      </c>
      <c r="F327" s="181">
        <f t="shared" si="9"/>
        <v>0.30529000000000001</v>
      </c>
      <c r="G327" s="178"/>
      <c r="H327" s="178"/>
      <c r="I327" s="178" t="s">
        <v>371</v>
      </c>
      <c r="J327" s="182">
        <v>0</v>
      </c>
      <c r="K327" s="182">
        <v>0.30529000000000001</v>
      </c>
    </row>
    <row r="328" spans="1:11" ht="30" x14ac:dyDescent="0.25">
      <c r="A328" s="266"/>
      <c r="B328" s="178"/>
      <c r="C328" s="178"/>
      <c r="D328" s="183">
        <f>0.1196</f>
        <v>0.1196</v>
      </c>
      <c r="E328" s="179" t="s">
        <v>372</v>
      </c>
      <c r="F328" s="181">
        <f t="shared" si="9"/>
        <v>0.1196</v>
      </c>
      <c r="G328" s="178"/>
      <c r="H328" s="178"/>
      <c r="I328" s="179" t="s">
        <v>372</v>
      </c>
      <c r="J328" s="182">
        <v>0</v>
      </c>
      <c r="K328" s="182">
        <f>0.1196</f>
        <v>0.1196</v>
      </c>
    </row>
    <row r="329" spans="1:11" ht="30" x14ac:dyDescent="0.25">
      <c r="A329" s="266"/>
      <c r="B329" s="178"/>
      <c r="C329" s="178"/>
      <c r="D329" s="183">
        <f>0.1196</f>
        <v>0.1196</v>
      </c>
      <c r="E329" s="179" t="s">
        <v>373</v>
      </c>
      <c r="F329" s="181">
        <f t="shared" si="9"/>
        <v>0.1196</v>
      </c>
      <c r="G329" s="178"/>
      <c r="H329" s="178"/>
      <c r="I329" s="179" t="s">
        <v>373</v>
      </c>
      <c r="J329" s="182">
        <v>0</v>
      </c>
      <c r="K329" s="182">
        <f>0.1196</f>
        <v>0.1196</v>
      </c>
    </row>
    <row r="330" spans="1:11" x14ac:dyDescent="0.25">
      <c r="A330" s="266"/>
      <c r="B330" s="178"/>
      <c r="C330" s="178"/>
      <c r="D330" s="183">
        <f>17.89893</f>
        <v>17.89893</v>
      </c>
      <c r="E330" s="178" t="s">
        <v>374</v>
      </c>
      <c r="F330" s="181">
        <f t="shared" si="9"/>
        <v>17.89893</v>
      </c>
      <c r="G330" s="178"/>
      <c r="H330" s="178"/>
      <c r="I330" s="178" t="s">
        <v>374</v>
      </c>
      <c r="J330" s="182">
        <f>9.52593</f>
        <v>9.5259300000000007</v>
      </c>
      <c r="K330" s="182">
        <f>8.373</f>
        <v>8.3729999999999993</v>
      </c>
    </row>
    <row r="331" spans="1:11" x14ac:dyDescent="0.25">
      <c r="A331" s="266"/>
      <c r="B331" s="178"/>
      <c r="C331" s="178"/>
      <c r="D331" s="183">
        <v>0.44762999999999997</v>
      </c>
      <c r="E331" s="178" t="s">
        <v>93</v>
      </c>
      <c r="F331" s="181">
        <f t="shared" si="9"/>
        <v>0.44762999999999997</v>
      </c>
      <c r="G331" s="178"/>
      <c r="H331" s="178"/>
      <c r="I331" s="178" t="s">
        <v>93</v>
      </c>
      <c r="J331" s="182">
        <v>0.14482</v>
      </c>
      <c r="K331" s="182">
        <v>0.30281000000000002</v>
      </c>
    </row>
    <row r="332" spans="1:11" x14ac:dyDescent="0.25">
      <c r="A332" s="266"/>
      <c r="B332" s="178"/>
      <c r="C332" s="178"/>
      <c r="D332" s="183">
        <f>0.46442</f>
        <v>0.46442</v>
      </c>
      <c r="E332" s="178" t="s">
        <v>197</v>
      </c>
      <c r="F332" s="181">
        <f t="shared" si="9"/>
        <v>0.46442</v>
      </c>
      <c r="G332" s="178"/>
      <c r="H332" s="178"/>
      <c r="I332" s="178" t="s">
        <v>197</v>
      </c>
      <c r="J332" s="182">
        <v>0.23221</v>
      </c>
      <c r="K332" s="182">
        <f>0.23221</f>
        <v>0.23221</v>
      </c>
    </row>
    <row r="333" spans="1:11" x14ac:dyDescent="0.25">
      <c r="A333" s="266"/>
      <c r="B333" s="178"/>
      <c r="C333" s="178"/>
      <c r="D333" s="183">
        <f>11.54076</f>
        <v>11.540760000000001</v>
      </c>
      <c r="E333" s="178" t="s">
        <v>190</v>
      </c>
      <c r="F333" s="181">
        <f t="shared" si="9"/>
        <v>11.540760000000001</v>
      </c>
      <c r="G333" s="178"/>
      <c r="H333" s="178"/>
      <c r="I333" s="178" t="s">
        <v>190</v>
      </c>
      <c r="J333" s="182">
        <f>6.44097</f>
        <v>6.4409700000000001</v>
      </c>
      <c r="K333" s="182">
        <v>5.0997899999999996</v>
      </c>
    </row>
    <row r="334" spans="1:11" x14ac:dyDescent="0.25">
      <c r="A334" s="266"/>
      <c r="B334" s="178"/>
      <c r="C334" s="178"/>
      <c r="D334" s="183">
        <f>0.50095</f>
        <v>0.50095000000000001</v>
      </c>
      <c r="E334" s="178" t="s">
        <v>191</v>
      </c>
      <c r="F334" s="181">
        <f t="shared" si="9"/>
        <v>0.50095000000000001</v>
      </c>
      <c r="G334" s="178"/>
      <c r="H334" s="178"/>
      <c r="I334" s="178" t="s">
        <v>191</v>
      </c>
      <c r="J334" s="182">
        <v>0.12817999999999999</v>
      </c>
      <c r="K334" s="182">
        <v>0.37276999999999999</v>
      </c>
    </row>
    <row r="335" spans="1:11" x14ac:dyDescent="0.25">
      <c r="A335" s="266"/>
      <c r="B335" s="178"/>
      <c r="C335" s="178"/>
      <c r="D335" s="183">
        <f>4.72051</f>
        <v>4.72051</v>
      </c>
      <c r="E335" s="178" t="s">
        <v>248</v>
      </c>
      <c r="F335" s="181">
        <f t="shared" si="9"/>
        <v>4.72051</v>
      </c>
      <c r="G335" s="178"/>
      <c r="H335" s="178"/>
      <c r="I335" s="178" t="s">
        <v>248</v>
      </c>
      <c r="J335" s="182">
        <f>3.4921</f>
        <v>3.4921000000000002</v>
      </c>
      <c r="K335" s="182">
        <v>1.22841</v>
      </c>
    </row>
    <row r="336" spans="1:11" x14ac:dyDescent="0.25">
      <c r="A336" s="266"/>
      <c r="B336" s="178"/>
      <c r="C336" s="178"/>
      <c r="D336" s="183">
        <v>1.4742500000000001</v>
      </c>
      <c r="E336" s="178" t="s">
        <v>196</v>
      </c>
      <c r="F336" s="181">
        <f t="shared" si="9"/>
        <v>1.4742500000000001</v>
      </c>
      <c r="G336" s="178"/>
      <c r="H336" s="178"/>
      <c r="I336" s="178" t="s">
        <v>196</v>
      </c>
      <c r="J336" s="182">
        <v>0</v>
      </c>
      <c r="K336" s="182">
        <v>1.4742500000000001</v>
      </c>
    </row>
    <row r="337" spans="1:11" x14ac:dyDescent="0.25">
      <c r="A337" s="266"/>
      <c r="B337" s="178"/>
      <c r="C337" s="178"/>
      <c r="D337" s="183">
        <v>0.70620000000000005</v>
      </c>
      <c r="E337" s="178" t="s">
        <v>339</v>
      </c>
      <c r="F337" s="181">
        <f t="shared" si="9"/>
        <v>0.70620000000000005</v>
      </c>
      <c r="G337" s="178"/>
      <c r="H337" s="178"/>
      <c r="I337" s="178" t="s">
        <v>339</v>
      </c>
      <c r="J337" s="182">
        <v>0</v>
      </c>
      <c r="K337" s="182">
        <v>0.70620000000000005</v>
      </c>
    </row>
    <row r="338" spans="1:11" x14ac:dyDescent="0.25">
      <c r="A338" s="266"/>
      <c r="B338" s="178"/>
      <c r="C338" s="178"/>
      <c r="D338" s="183">
        <f>2.36866</f>
        <v>2.3686600000000002</v>
      </c>
      <c r="E338" s="178" t="s">
        <v>101</v>
      </c>
      <c r="F338" s="181">
        <f t="shared" si="9"/>
        <v>2.3686600000000002</v>
      </c>
      <c r="G338" s="178"/>
      <c r="H338" s="178"/>
      <c r="I338" s="178" t="s">
        <v>101</v>
      </c>
      <c r="J338" s="182">
        <v>1.4422699999999999</v>
      </c>
      <c r="K338" s="182">
        <v>0.92639000000000005</v>
      </c>
    </row>
    <row r="339" spans="1:11" x14ac:dyDescent="0.25">
      <c r="A339" s="266"/>
      <c r="B339" s="178"/>
      <c r="C339" s="178"/>
      <c r="D339" s="183">
        <f>6.808</f>
        <v>6.8079999999999998</v>
      </c>
      <c r="E339" s="178" t="s">
        <v>253</v>
      </c>
      <c r="F339" s="181">
        <f t="shared" si="9"/>
        <v>6.8079999999999998</v>
      </c>
      <c r="G339" s="178"/>
      <c r="H339" s="178"/>
      <c r="I339" s="178" t="s">
        <v>253</v>
      </c>
      <c r="J339" s="182">
        <v>4.5006000000000004</v>
      </c>
      <c r="K339" s="182">
        <v>2.3073999999999999</v>
      </c>
    </row>
    <row r="340" spans="1:11" x14ac:dyDescent="0.25">
      <c r="A340" s="266"/>
      <c r="B340" s="178"/>
      <c r="C340" s="178"/>
      <c r="D340" s="183">
        <v>3.456</v>
      </c>
      <c r="E340" s="178" t="s">
        <v>252</v>
      </c>
      <c r="F340" s="181">
        <f t="shared" si="9"/>
        <v>3.456</v>
      </c>
      <c r="G340" s="178"/>
      <c r="H340" s="178"/>
      <c r="I340" s="178" t="s">
        <v>252</v>
      </c>
      <c r="J340" s="182">
        <f>2.6244</f>
        <v>2.6244000000000001</v>
      </c>
      <c r="K340" s="182">
        <v>0.83160000000000001</v>
      </c>
    </row>
    <row r="341" spans="1:11" x14ac:dyDescent="0.25">
      <c r="A341" s="266"/>
      <c r="B341" s="178"/>
      <c r="C341" s="178"/>
      <c r="D341" s="183">
        <v>3.048</v>
      </c>
      <c r="E341" s="178" t="s">
        <v>375</v>
      </c>
      <c r="F341" s="181">
        <f t="shared" si="9"/>
        <v>3.048</v>
      </c>
      <c r="G341" s="178"/>
      <c r="H341" s="178"/>
      <c r="I341" s="178" t="s">
        <v>375</v>
      </c>
      <c r="J341" s="182">
        <v>1.97485</v>
      </c>
      <c r="K341" s="182">
        <v>1.07315</v>
      </c>
    </row>
    <row r="342" spans="1:11" x14ac:dyDescent="0.25">
      <c r="A342" s="266"/>
      <c r="B342" s="178"/>
      <c r="C342" s="178"/>
      <c r="D342" s="183">
        <f>3.7128</f>
        <v>3.7128000000000001</v>
      </c>
      <c r="E342" s="178" t="s">
        <v>255</v>
      </c>
      <c r="F342" s="181">
        <f t="shared" si="9"/>
        <v>3.7128000000000001</v>
      </c>
      <c r="G342" s="178"/>
      <c r="H342" s="178"/>
      <c r="I342" s="178" t="s">
        <v>255</v>
      </c>
      <c r="J342" s="182">
        <f>2.02104</f>
        <v>2.0210400000000002</v>
      </c>
      <c r="K342" s="182">
        <f>1.69176</f>
        <v>1.6917599999999999</v>
      </c>
    </row>
    <row r="343" spans="1:11" x14ac:dyDescent="0.25">
      <c r="A343" s="266"/>
      <c r="B343" s="178"/>
      <c r="C343" s="178"/>
      <c r="D343" s="183">
        <f>4.10533</f>
        <v>4.1053300000000004</v>
      </c>
      <c r="E343" s="178" t="s">
        <v>255</v>
      </c>
      <c r="F343" s="181">
        <f t="shared" si="9"/>
        <v>4.1053300000000004</v>
      </c>
      <c r="G343" s="178"/>
      <c r="H343" s="178"/>
      <c r="I343" s="178" t="s">
        <v>255</v>
      </c>
      <c r="J343" s="182">
        <v>2.7178300000000002</v>
      </c>
      <c r="K343" s="182">
        <v>1.3875</v>
      </c>
    </row>
    <row r="344" spans="1:11" x14ac:dyDescent="0.25">
      <c r="A344" s="263"/>
      <c r="B344" s="178"/>
      <c r="C344" s="178"/>
      <c r="D344" s="183">
        <v>3.4914000000000001</v>
      </c>
      <c r="E344" s="178" t="s">
        <v>255</v>
      </c>
      <c r="F344" s="168">
        <f t="shared" si="9"/>
        <v>3.4914000000000001</v>
      </c>
      <c r="G344" s="178"/>
      <c r="H344" s="178"/>
      <c r="I344" s="178" t="s">
        <v>255</v>
      </c>
      <c r="J344" s="182">
        <f>1.88094</f>
        <v>1.8809400000000001</v>
      </c>
      <c r="K344" s="182">
        <v>1.61046</v>
      </c>
    </row>
    <row r="345" spans="1:11" x14ac:dyDescent="0.25">
      <c r="A345" s="172"/>
      <c r="B345" s="178"/>
      <c r="C345" s="178"/>
      <c r="D345" s="183">
        <f>1.406+0.00039</f>
        <v>1.4063899999999998</v>
      </c>
      <c r="E345" s="178" t="s">
        <v>255</v>
      </c>
      <c r="F345" s="168">
        <f t="shared" si="9"/>
        <v>1.4063899999999998</v>
      </c>
      <c r="G345" s="178"/>
      <c r="H345" s="178"/>
      <c r="I345" s="178" t="s">
        <v>255</v>
      </c>
      <c r="J345" s="182">
        <v>0</v>
      </c>
      <c r="K345" s="182">
        <f>1.406+0.00039</f>
        <v>1.4063899999999998</v>
      </c>
    </row>
    <row r="346" spans="1:11" ht="134.25" customHeight="1" x14ac:dyDescent="0.3">
      <c r="A346" s="172"/>
      <c r="B346" s="52" t="s">
        <v>47</v>
      </c>
      <c r="C346" s="178"/>
      <c r="D346" s="183">
        <v>12</v>
      </c>
      <c r="E346" s="179" t="s">
        <v>376</v>
      </c>
      <c r="F346" s="177">
        <f>D346</f>
        <v>12</v>
      </c>
      <c r="G346" s="178"/>
      <c r="H346" s="178"/>
      <c r="I346" s="179" t="s">
        <v>376</v>
      </c>
      <c r="J346" s="182">
        <v>12</v>
      </c>
      <c r="K346" s="182">
        <v>0</v>
      </c>
    </row>
    <row r="347" spans="1:11" ht="75" x14ac:dyDescent="0.3">
      <c r="A347" s="172"/>
      <c r="B347" s="52" t="s">
        <v>47</v>
      </c>
      <c r="C347" s="178"/>
      <c r="D347" s="183">
        <f>0.2936</f>
        <v>0.29360000000000003</v>
      </c>
      <c r="E347" s="178" t="s">
        <v>320</v>
      </c>
      <c r="F347" s="168">
        <f>D347</f>
        <v>0.29360000000000003</v>
      </c>
      <c r="G347" s="178"/>
      <c r="H347" s="178"/>
      <c r="I347" s="178" t="s">
        <v>320</v>
      </c>
      <c r="J347" s="182">
        <v>0</v>
      </c>
      <c r="K347" s="182">
        <f>0.2936</f>
        <v>0.29360000000000003</v>
      </c>
    </row>
    <row r="348" spans="1:11" x14ac:dyDescent="0.25">
      <c r="A348" s="172"/>
      <c r="B348" s="178"/>
      <c r="C348" s="178"/>
      <c r="D348" s="183">
        <f>0.49434</f>
        <v>0.49434</v>
      </c>
      <c r="E348" s="178" t="s">
        <v>377</v>
      </c>
      <c r="F348" s="168">
        <f>D348</f>
        <v>0.49434</v>
      </c>
      <c r="G348" s="178"/>
      <c r="H348" s="178"/>
      <c r="I348" s="178" t="s">
        <v>377</v>
      </c>
      <c r="J348" s="182">
        <v>0</v>
      </c>
      <c r="K348" s="182">
        <f>0.49434</f>
        <v>0.49434</v>
      </c>
    </row>
    <row r="349" spans="1:11" s="117" customFormat="1" x14ac:dyDescent="0.25">
      <c r="A349" s="176"/>
      <c r="B349" s="178" t="s">
        <v>401</v>
      </c>
      <c r="C349" s="178"/>
      <c r="D349" s="183">
        <v>1</v>
      </c>
      <c r="E349" s="178" t="s">
        <v>378</v>
      </c>
      <c r="F349" s="181">
        <v>1</v>
      </c>
      <c r="G349" s="178"/>
      <c r="H349" s="178"/>
      <c r="I349" s="178" t="s">
        <v>378</v>
      </c>
      <c r="J349" s="182">
        <v>0</v>
      </c>
      <c r="K349" s="46">
        <v>1</v>
      </c>
    </row>
    <row r="350" spans="1:11" s="117" customFormat="1" x14ac:dyDescent="0.25">
      <c r="A350" s="176"/>
      <c r="B350" s="178"/>
      <c r="C350" s="178"/>
      <c r="D350" s="183">
        <v>0.5</v>
      </c>
      <c r="E350" s="178" t="s">
        <v>379</v>
      </c>
      <c r="F350" s="181">
        <v>0.5</v>
      </c>
      <c r="G350" s="178"/>
      <c r="H350" s="178"/>
      <c r="I350" s="178" t="s">
        <v>379</v>
      </c>
      <c r="J350" s="182">
        <v>0</v>
      </c>
      <c r="K350" s="46">
        <v>0.5</v>
      </c>
    </row>
    <row r="351" spans="1:11" s="117" customFormat="1" x14ac:dyDescent="0.25">
      <c r="A351" s="176"/>
      <c r="B351" s="178"/>
      <c r="C351" s="178"/>
      <c r="D351" s="183">
        <v>0.2</v>
      </c>
      <c r="E351" s="178" t="s">
        <v>380</v>
      </c>
      <c r="F351" s="181">
        <v>0.2</v>
      </c>
      <c r="G351" s="178"/>
      <c r="H351" s="178"/>
      <c r="I351" s="178" t="s">
        <v>380</v>
      </c>
      <c r="J351" s="182">
        <v>0</v>
      </c>
      <c r="K351" s="46">
        <v>0.2</v>
      </c>
    </row>
    <row r="352" spans="1:11" s="117" customFormat="1" x14ac:dyDescent="0.25">
      <c r="A352" s="176"/>
      <c r="B352" s="178"/>
      <c r="C352" s="178"/>
      <c r="D352" s="183">
        <v>0.6</v>
      </c>
      <c r="E352" s="178" t="s">
        <v>381</v>
      </c>
      <c r="F352" s="181">
        <v>0.6</v>
      </c>
      <c r="G352" s="178"/>
      <c r="H352" s="178"/>
      <c r="I352" s="178" t="s">
        <v>381</v>
      </c>
      <c r="J352" s="182">
        <v>0</v>
      </c>
      <c r="K352" s="46">
        <v>0.6</v>
      </c>
    </row>
    <row r="353" spans="1:11" s="117" customFormat="1" x14ac:dyDescent="0.25">
      <c r="A353" s="176"/>
      <c r="B353" s="178"/>
      <c r="C353" s="178"/>
      <c r="D353" s="183">
        <v>1</v>
      </c>
      <c r="E353" s="178" t="s">
        <v>382</v>
      </c>
      <c r="F353" s="181">
        <v>1</v>
      </c>
      <c r="G353" s="178"/>
      <c r="H353" s="178"/>
      <c r="I353" s="178" t="s">
        <v>382</v>
      </c>
      <c r="J353" s="182">
        <v>0</v>
      </c>
      <c r="K353" s="46">
        <v>1</v>
      </c>
    </row>
    <row r="354" spans="1:11" s="117" customFormat="1" x14ac:dyDescent="0.25">
      <c r="A354" s="176"/>
      <c r="B354" s="178"/>
      <c r="C354" s="178"/>
      <c r="D354" s="183">
        <v>0.8</v>
      </c>
      <c r="E354" s="178" t="s">
        <v>383</v>
      </c>
      <c r="F354" s="181">
        <v>0.8</v>
      </c>
      <c r="G354" s="178"/>
      <c r="H354" s="178"/>
      <c r="I354" s="178" t="s">
        <v>383</v>
      </c>
      <c r="J354" s="182">
        <v>0</v>
      </c>
      <c r="K354" s="46">
        <v>0.8</v>
      </c>
    </row>
    <row r="355" spans="1:11" s="117" customFormat="1" x14ac:dyDescent="0.25">
      <c r="A355" s="176"/>
      <c r="B355" s="178"/>
      <c r="C355" s="178"/>
      <c r="D355" s="183">
        <v>3</v>
      </c>
      <c r="E355" s="178" t="s">
        <v>384</v>
      </c>
      <c r="F355" s="181">
        <v>3</v>
      </c>
      <c r="G355" s="178"/>
      <c r="H355" s="178"/>
      <c r="I355" s="178" t="s">
        <v>384</v>
      </c>
      <c r="J355" s="182">
        <v>0</v>
      </c>
      <c r="K355" s="46">
        <v>3</v>
      </c>
    </row>
    <row r="356" spans="1:11" s="117" customFormat="1" x14ac:dyDescent="0.25">
      <c r="A356" s="176"/>
      <c r="B356" s="178"/>
      <c r="C356" s="178"/>
      <c r="D356" s="183">
        <v>0.03</v>
      </c>
      <c r="E356" s="178" t="s">
        <v>385</v>
      </c>
      <c r="F356" s="181">
        <v>0.03</v>
      </c>
      <c r="G356" s="178"/>
      <c r="H356" s="178"/>
      <c r="I356" s="178" t="s">
        <v>385</v>
      </c>
      <c r="J356" s="182">
        <v>0</v>
      </c>
      <c r="K356" s="46">
        <v>0.03</v>
      </c>
    </row>
    <row r="357" spans="1:11" s="117" customFormat="1" x14ac:dyDescent="0.25">
      <c r="A357" s="176"/>
      <c r="B357" s="178"/>
      <c r="C357" s="178"/>
      <c r="D357" s="183">
        <v>1.5</v>
      </c>
      <c r="E357" s="178" t="s">
        <v>386</v>
      </c>
      <c r="F357" s="181">
        <v>1.5</v>
      </c>
      <c r="G357" s="178"/>
      <c r="H357" s="178"/>
      <c r="I357" s="178" t="s">
        <v>386</v>
      </c>
      <c r="J357" s="182">
        <v>0</v>
      </c>
      <c r="K357" s="46">
        <v>1.5</v>
      </c>
    </row>
    <row r="358" spans="1:11" s="117" customFormat="1" x14ac:dyDescent="0.25">
      <c r="A358" s="176"/>
      <c r="B358" s="178"/>
      <c r="C358" s="178"/>
      <c r="D358" s="183">
        <v>0.05</v>
      </c>
      <c r="E358" s="178" t="s">
        <v>387</v>
      </c>
      <c r="F358" s="181">
        <v>0.05</v>
      </c>
      <c r="G358" s="178"/>
      <c r="H358" s="178"/>
      <c r="I358" s="178" t="s">
        <v>387</v>
      </c>
      <c r="J358" s="182">
        <v>0</v>
      </c>
      <c r="K358" s="46">
        <v>0.05</v>
      </c>
    </row>
    <row r="359" spans="1:11" s="117" customFormat="1" x14ac:dyDescent="0.25">
      <c r="A359" s="176"/>
      <c r="B359" s="178"/>
      <c r="C359" s="178"/>
      <c r="D359" s="183">
        <v>0.7</v>
      </c>
      <c r="E359" s="178" t="s">
        <v>388</v>
      </c>
      <c r="F359" s="181">
        <v>0.7</v>
      </c>
      <c r="G359" s="178"/>
      <c r="H359" s="178"/>
      <c r="I359" s="178" t="s">
        <v>388</v>
      </c>
      <c r="J359" s="182">
        <v>0</v>
      </c>
      <c r="K359" s="46">
        <v>0.7</v>
      </c>
    </row>
    <row r="360" spans="1:11" s="117" customFormat="1" x14ac:dyDescent="0.25">
      <c r="A360" s="176"/>
      <c r="B360" s="178"/>
      <c r="C360" s="178"/>
      <c r="D360" s="183">
        <v>0.5</v>
      </c>
      <c r="E360" s="178" t="s">
        <v>389</v>
      </c>
      <c r="F360" s="181">
        <v>0.5</v>
      </c>
      <c r="G360" s="178"/>
      <c r="H360" s="178"/>
      <c r="I360" s="178" t="s">
        <v>389</v>
      </c>
      <c r="J360" s="182">
        <v>0</v>
      </c>
      <c r="K360" s="46">
        <v>0.5</v>
      </c>
    </row>
    <row r="361" spans="1:11" s="117" customFormat="1" x14ac:dyDescent="0.25">
      <c r="A361" s="176"/>
      <c r="B361" s="178"/>
      <c r="C361" s="178"/>
      <c r="D361" s="183">
        <v>0.56000000000000005</v>
      </c>
      <c r="E361" s="178" t="s">
        <v>390</v>
      </c>
      <c r="F361" s="181">
        <v>0.56000000000000005</v>
      </c>
      <c r="G361" s="178"/>
      <c r="H361" s="178"/>
      <c r="I361" s="178" t="s">
        <v>390</v>
      </c>
      <c r="J361" s="182">
        <v>0</v>
      </c>
      <c r="K361" s="46">
        <v>0.56000000000000005</v>
      </c>
    </row>
    <row r="362" spans="1:11" s="117" customFormat="1" x14ac:dyDescent="0.25">
      <c r="A362" s="176"/>
      <c r="B362" s="178"/>
      <c r="C362" s="178"/>
      <c r="D362" s="183">
        <v>0.15</v>
      </c>
      <c r="E362" s="178" t="s">
        <v>391</v>
      </c>
      <c r="F362" s="181">
        <v>0.15</v>
      </c>
      <c r="G362" s="178"/>
      <c r="H362" s="178"/>
      <c r="I362" s="178" t="s">
        <v>391</v>
      </c>
      <c r="J362" s="182">
        <v>0</v>
      </c>
      <c r="K362" s="46">
        <v>0.15</v>
      </c>
    </row>
    <row r="363" spans="1:11" s="117" customFormat="1" x14ac:dyDescent="0.25">
      <c r="A363" s="176"/>
      <c r="B363" s="178"/>
      <c r="C363" s="178"/>
      <c r="D363" s="183">
        <v>0.28000000000000003</v>
      </c>
      <c r="E363" s="178" t="s">
        <v>392</v>
      </c>
      <c r="F363" s="181">
        <v>0.28000000000000003</v>
      </c>
      <c r="G363" s="178"/>
      <c r="H363" s="178"/>
      <c r="I363" s="178" t="s">
        <v>392</v>
      </c>
      <c r="J363" s="182">
        <v>0</v>
      </c>
      <c r="K363" s="46">
        <v>0.28000000000000003</v>
      </c>
    </row>
    <row r="364" spans="1:11" s="117" customFormat="1" x14ac:dyDescent="0.25">
      <c r="A364" s="176"/>
      <c r="B364" s="178"/>
      <c r="C364" s="178"/>
      <c r="D364" s="183">
        <v>0.15</v>
      </c>
      <c r="E364" s="178" t="s">
        <v>393</v>
      </c>
      <c r="F364" s="181">
        <v>0.15</v>
      </c>
      <c r="G364" s="178"/>
      <c r="H364" s="178"/>
      <c r="I364" s="178" t="s">
        <v>393</v>
      </c>
      <c r="J364" s="182">
        <v>0</v>
      </c>
      <c r="K364" s="46">
        <v>0.15</v>
      </c>
    </row>
    <row r="365" spans="1:11" s="117" customFormat="1" x14ac:dyDescent="0.25">
      <c r="A365" s="176"/>
      <c r="B365" s="178"/>
      <c r="C365" s="178"/>
      <c r="D365" s="183">
        <v>0.06</v>
      </c>
      <c r="E365" s="178" t="s">
        <v>394</v>
      </c>
      <c r="F365" s="181">
        <v>0.06</v>
      </c>
      <c r="G365" s="178"/>
      <c r="H365" s="178"/>
      <c r="I365" s="178" t="s">
        <v>394</v>
      </c>
      <c r="J365" s="182">
        <v>0</v>
      </c>
      <c r="K365" s="46">
        <v>0.06</v>
      </c>
    </row>
    <row r="366" spans="1:11" s="117" customFormat="1" x14ac:dyDescent="0.25">
      <c r="A366" s="176"/>
      <c r="B366" s="178"/>
      <c r="C366" s="178"/>
      <c r="D366" s="183">
        <v>0.05</v>
      </c>
      <c r="E366" s="178" t="s">
        <v>395</v>
      </c>
      <c r="F366" s="181">
        <v>0.05</v>
      </c>
      <c r="G366" s="178"/>
      <c r="H366" s="178"/>
      <c r="I366" s="178" t="s">
        <v>395</v>
      </c>
      <c r="J366" s="182">
        <v>0</v>
      </c>
      <c r="K366" s="46">
        <v>0.05</v>
      </c>
    </row>
    <row r="367" spans="1:11" s="117" customFormat="1" x14ac:dyDescent="0.25">
      <c r="A367" s="176"/>
      <c r="B367" s="178"/>
      <c r="C367" s="178"/>
      <c r="D367" s="183">
        <v>0.06</v>
      </c>
      <c r="E367" s="178" t="s">
        <v>396</v>
      </c>
      <c r="F367" s="181">
        <v>0.06</v>
      </c>
      <c r="G367" s="178"/>
      <c r="H367" s="178"/>
      <c r="I367" s="178" t="s">
        <v>396</v>
      </c>
      <c r="J367" s="182">
        <v>0</v>
      </c>
      <c r="K367" s="46">
        <v>0.06</v>
      </c>
    </row>
    <row r="368" spans="1:11" s="117" customFormat="1" x14ac:dyDescent="0.25">
      <c r="A368" s="176"/>
      <c r="B368" s="178"/>
      <c r="C368" s="178"/>
      <c r="D368" s="183">
        <v>4.4999999999999998E-2</v>
      </c>
      <c r="E368" s="178" t="s">
        <v>397</v>
      </c>
      <c r="F368" s="181">
        <v>4.4999999999999998E-2</v>
      </c>
      <c r="G368" s="178"/>
      <c r="H368" s="178"/>
      <c r="I368" s="178" t="s">
        <v>397</v>
      </c>
      <c r="J368" s="182">
        <v>0</v>
      </c>
      <c r="K368" s="46">
        <v>4.4999999999999998E-2</v>
      </c>
    </row>
    <row r="369" spans="1:11" s="117" customFormat="1" x14ac:dyDescent="0.25">
      <c r="A369" s="176"/>
      <c r="B369" s="178"/>
      <c r="C369" s="178"/>
      <c r="D369" s="183">
        <v>0.05</v>
      </c>
      <c r="E369" s="178" t="s">
        <v>398</v>
      </c>
      <c r="F369" s="181">
        <v>0.05</v>
      </c>
      <c r="G369" s="178"/>
      <c r="H369" s="178"/>
      <c r="I369" s="178" t="s">
        <v>398</v>
      </c>
      <c r="J369" s="182">
        <v>0</v>
      </c>
      <c r="K369" s="46">
        <v>0.05</v>
      </c>
    </row>
    <row r="370" spans="1:11" s="117" customFormat="1" x14ac:dyDescent="0.25">
      <c r="A370" s="176"/>
      <c r="B370" s="178"/>
      <c r="C370" s="178"/>
      <c r="D370" s="183">
        <v>0.03</v>
      </c>
      <c r="E370" s="178" t="s">
        <v>399</v>
      </c>
      <c r="F370" s="181">
        <v>0.03</v>
      </c>
      <c r="G370" s="178"/>
      <c r="H370" s="178"/>
      <c r="I370" s="178" t="s">
        <v>399</v>
      </c>
      <c r="J370" s="182">
        <v>0</v>
      </c>
      <c r="K370" s="46">
        <v>0.03</v>
      </c>
    </row>
    <row r="371" spans="1:11" s="117" customFormat="1" ht="30" x14ac:dyDescent="0.25">
      <c r="A371" s="176"/>
      <c r="B371" s="178"/>
      <c r="C371" s="178"/>
      <c r="D371" s="183">
        <v>5.9260000000000002</v>
      </c>
      <c r="E371" s="179" t="s">
        <v>400</v>
      </c>
      <c r="F371" s="180">
        <v>5.9260000000000002</v>
      </c>
      <c r="G371" s="178"/>
      <c r="H371" s="178"/>
      <c r="I371" s="179" t="s">
        <v>400</v>
      </c>
      <c r="J371" s="182">
        <v>5.9260000000000002</v>
      </c>
      <c r="K371" s="189">
        <v>0</v>
      </c>
    </row>
    <row r="372" spans="1:11" s="117" customFormat="1" ht="75" x14ac:dyDescent="0.3">
      <c r="A372" s="172"/>
      <c r="B372" s="52" t="s">
        <v>47</v>
      </c>
      <c r="C372" s="178"/>
      <c r="D372" s="187">
        <v>0.23799999999999999</v>
      </c>
      <c r="E372" s="179" t="s">
        <v>402</v>
      </c>
      <c r="F372" s="180">
        <v>0.23799999999999999</v>
      </c>
      <c r="G372" s="178"/>
      <c r="H372" s="178"/>
      <c r="I372" s="179" t="s">
        <v>402</v>
      </c>
      <c r="J372" s="182">
        <v>0.23799999999999999</v>
      </c>
      <c r="K372" s="182">
        <f t="shared" ref="K372:K380" si="10">SUM(F372)-J372</f>
        <v>0</v>
      </c>
    </row>
    <row r="373" spans="1:11" s="117" customFormat="1" ht="30" x14ac:dyDescent="0.25">
      <c r="A373" s="172"/>
      <c r="B373" s="178"/>
      <c r="C373" s="178"/>
      <c r="D373" s="183">
        <v>0.26400000000000001</v>
      </c>
      <c r="E373" s="179" t="s">
        <v>403</v>
      </c>
      <c r="F373" s="180">
        <v>0.26400000000000001</v>
      </c>
      <c r="G373" s="178"/>
      <c r="H373" s="178"/>
      <c r="I373" s="179" t="s">
        <v>403</v>
      </c>
      <c r="J373" s="182">
        <v>0.26400000000000001</v>
      </c>
      <c r="K373" s="182">
        <f t="shared" si="10"/>
        <v>0</v>
      </c>
    </row>
    <row r="374" spans="1:11" s="117" customFormat="1" ht="30" x14ac:dyDescent="0.25">
      <c r="A374" s="172"/>
      <c r="B374" s="178"/>
      <c r="C374" s="178"/>
      <c r="D374" s="183">
        <v>0.30399999999999999</v>
      </c>
      <c r="E374" s="179" t="s">
        <v>404</v>
      </c>
      <c r="F374" s="180">
        <v>0.30399999999999999</v>
      </c>
      <c r="G374" s="178"/>
      <c r="H374" s="178"/>
      <c r="I374" s="179" t="s">
        <v>404</v>
      </c>
      <c r="J374" s="182">
        <v>0.152</v>
      </c>
      <c r="K374" s="182">
        <f t="shared" si="10"/>
        <v>0.152</v>
      </c>
    </row>
    <row r="375" spans="1:11" s="117" customFormat="1" ht="30" x14ac:dyDescent="0.25">
      <c r="A375" s="172"/>
      <c r="B375" s="178"/>
      <c r="C375" s="178"/>
      <c r="D375" s="183">
        <v>3.6999999999999998E-2</v>
      </c>
      <c r="E375" s="179" t="s">
        <v>405</v>
      </c>
      <c r="F375" s="180">
        <v>3.6999999999999998E-2</v>
      </c>
      <c r="G375" s="178"/>
      <c r="H375" s="178"/>
      <c r="I375" s="179" t="s">
        <v>405</v>
      </c>
      <c r="J375" s="182"/>
      <c r="K375" s="182">
        <f t="shared" si="10"/>
        <v>3.6999999999999998E-2</v>
      </c>
    </row>
    <row r="376" spans="1:11" s="117" customFormat="1" ht="30" x14ac:dyDescent="0.25">
      <c r="A376" s="172"/>
      <c r="B376" s="178"/>
      <c r="C376" s="178"/>
      <c r="D376" s="183">
        <v>3.4000000000000002E-2</v>
      </c>
      <c r="E376" s="179" t="s">
        <v>406</v>
      </c>
      <c r="F376" s="180">
        <v>3.4000000000000002E-2</v>
      </c>
      <c r="G376" s="178"/>
      <c r="H376" s="178"/>
      <c r="I376" s="179" t="s">
        <v>406</v>
      </c>
      <c r="J376" s="182"/>
      <c r="K376" s="182">
        <f t="shared" si="10"/>
        <v>3.4000000000000002E-2</v>
      </c>
    </row>
    <row r="377" spans="1:11" s="117" customFormat="1" ht="30" x14ac:dyDescent="0.25">
      <c r="A377" s="172"/>
      <c r="B377" s="178"/>
      <c r="C377" s="178"/>
      <c r="D377" s="183">
        <v>0.60299999999999998</v>
      </c>
      <c r="E377" s="179" t="s">
        <v>407</v>
      </c>
      <c r="F377" s="180">
        <v>0.60299999999999998</v>
      </c>
      <c r="G377" s="178"/>
      <c r="H377" s="178"/>
      <c r="I377" s="179" t="s">
        <v>407</v>
      </c>
      <c r="J377" s="182">
        <v>0.42299999999999999</v>
      </c>
      <c r="K377" s="182">
        <f t="shared" si="10"/>
        <v>0.18</v>
      </c>
    </row>
    <row r="378" spans="1:11" s="117" customFormat="1" ht="30" x14ac:dyDescent="0.25">
      <c r="A378" s="172"/>
      <c r="B378" s="178"/>
      <c r="C378" s="178"/>
      <c r="D378" s="183">
        <v>5.1999999999999998E-2</v>
      </c>
      <c r="E378" s="179" t="s">
        <v>408</v>
      </c>
      <c r="F378" s="180">
        <v>5.1999999999999998E-2</v>
      </c>
      <c r="G378" s="178"/>
      <c r="H378" s="178"/>
      <c r="I378" s="179" t="s">
        <v>408</v>
      </c>
      <c r="J378" s="182">
        <v>3.0000000000000001E-3</v>
      </c>
      <c r="K378" s="182">
        <f t="shared" si="10"/>
        <v>4.8999999999999995E-2</v>
      </c>
    </row>
    <row r="379" spans="1:11" s="117" customFormat="1" ht="30" x14ac:dyDescent="0.25">
      <c r="A379" s="172"/>
      <c r="B379" s="178"/>
      <c r="C379" s="178"/>
      <c r="D379" s="183">
        <v>0.90300000000000002</v>
      </c>
      <c r="E379" s="179" t="s">
        <v>409</v>
      </c>
      <c r="F379" s="180">
        <v>0.90300000000000002</v>
      </c>
      <c r="G379" s="178"/>
      <c r="H379" s="178"/>
      <c r="I379" s="179" t="s">
        <v>409</v>
      </c>
      <c r="J379" s="182">
        <v>0.46500000000000002</v>
      </c>
      <c r="K379" s="182">
        <f t="shared" si="10"/>
        <v>0.438</v>
      </c>
    </row>
    <row r="380" spans="1:11" s="117" customFormat="1" ht="30" x14ac:dyDescent="0.25">
      <c r="A380" s="172"/>
      <c r="B380" s="178"/>
      <c r="C380" s="178"/>
      <c r="D380" s="183">
        <v>0.39500000000000002</v>
      </c>
      <c r="E380" s="179" t="s">
        <v>410</v>
      </c>
      <c r="F380" s="180">
        <v>0.39500000000000002</v>
      </c>
      <c r="G380" s="178"/>
      <c r="H380" s="178"/>
      <c r="I380" s="179" t="s">
        <v>410</v>
      </c>
      <c r="J380" s="182">
        <v>0.13100000000000001</v>
      </c>
      <c r="K380" s="182">
        <f t="shared" si="10"/>
        <v>0.26400000000000001</v>
      </c>
    </row>
    <row r="381" spans="1:11" s="117" customFormat="1" ht="30" x14ac:dyDescent="0.25">
      <c r="A381" s="172"/>
      <c r="B381" s="178"/>
      <c r="C381" s="178"/>
      <c r="D381" s="183">
        <v>0.80900000000000005</v>
      </c>
      <c r="E381" s="179" t="s">
        <v>411</v>
      </c>
      <c r="F381" s="180">
        <v>0.80900000000000005</v>
      </c>
      <c r="G381" s="178"/>
      <c r="H381" s="178"/>
      <c r="I381" s="179" t="s">
        <v>411</v>
      </c>
      <c r="J381" s="182">
        <v>0.215</v>
      </c>
      <c r="K381" s="182">
        <f>SUM(F381)-J381</f>
        <v>0.59400000000000008</v>
      </c>
    </row>
    <row r="382" spans="1:11" s="117" customFormat="1" ht="30" x14ac:dyDescent="0.25">
      <c r="A382" s="172"/>
      <c r="B382" s="178"/>
      <c r="C382" s="178"/>
      <c r="D382" s="183">
        <v>6.0999999999999999E-2</v>
      </c>
      <c r="E382" s="179" t="s">
        <v>412</v>
      </c>
      <c r="F382" s="180">
        <v>6.0999999999999999E-2</v>
      </c>
      <c r="G382" s="178"/>
      <c r="H382" s="178"/>
      <c r="I382" s="179" t="s">
        <v>412</v>
      </c>
      <c r="J382" s="182">
        <v>4.0000000000000001E-3</v>
      </c>
      <c r="K382" s="182">
        <f t="shared" ref="K382:K424" si="11">SUM(F382)-J382</f>
        <v>5.6999999999999995E-2</v>
      </c>
    </row>
    <row r="383" spans="1:11" s="117" customFormat="1" ht="30" x14ac:dyDescent="0.25">
      <c r="A383" s="172"/>
      <c r="B383" s="178"/>
      <c r="C383" s="178"/>
      <c r="D383" s="183">
        <v>7.1999999999999995E-2</v>
      </c>
      <c r="E383" s="179" t="s">
        <v>413</v>
      </c>
      <c r="F383" s="180">
        <v>7.1999999999999995E-2</v>
      </c>
      <c r="G383" s="178"/>
      <c r="H383" s="178"/>
      <c r="I383" s="179" t="s">
        <v>413</v>
      </c>
      <c r="J383" s="182"/>
      <c r="K383" s="182">
        <f t="shared" si="11"/>
        <v>7.1999999999999995E-2</v>
      </c>
    </row>
    <row r="384" spans="1:11" s="117" customFormat="1" ht="30" x14ac:dyDescent="0.25">
      <c r="A384" s="172"/>
      <c r="B384" s="178"/>
      <c r="C384" s="178"/>
      <c r="D384" s="183">
        <v>0.755</v>
      </c>
      <c r="E384" s="179" t="s">
        <v>414</v>
      </c>
      <c r="F384" s="180">
        <v>0.755</v>
      </c>
      <c r="G384" s="178"/>
      <c r="H384" s="178"/>
      <c r="I384" s="179" t="s">
        <v>414</v>
      </c>
      <c r="J384" s="182">
        <v>0.38600000000000001</v>
      </c>
      <c r="K384" s="182">
        <f t="shared" si="11"/>
        <v>0.36899999999999999</v>
      </c>
    </row>
    <row r="385" spans="1:11" s="117" customFormat="1" ht="30" x14ac:dyDescent="0.25">
      <c r="A385" s="172"/>
      <c r="B385" s="178"/>
      <c r="C385" s="178"/>
      <c r="D385" s="183">
        <v>0.13400000000000001</v>
      </c>
      <c r="E385" s="179" t="s">
        <v>415</v>
      </c>
      <c r="F385" s="180">
        <v>0.13400000000000001</v>
      </c>
      <c r="G385" s="178"/>
      <c r="H385" s="178"/>
      <c r="I385" s="179" t="s">
        <v>415</v>
      </c>
      <c r="J385" s="182">
        <v>9.6000000000000002E-2</v>
      </c>
      <c r="K385" s="182">
        <f t="shared" si="11"/>
        <v>3.8000000000000006E-2</v>
      </c>
    </row>
    <row r="386" spans="1:11" s="117" customFormat="1" ht="30" x14ac:dyDescent="0.25">
      <c r="A386" s="172"/>
      <c r="B386" s="178"/>
      <c r="C386" s="178"/>
      <c r="D386" s="183">
        <v>0.44600000000000001</v>
      </c>
      <c r="E386" s="179" t="s">
        <v>416</v>
      </c>
      <c r="F386" s="180">
        <v>0.44600000000000001</v>
      </c>
      <c r="G386" s="178"/>
      <c r="H386" s="178"/>
      <c r="I386" s="179" t="s">
        <v>416</v>
      </c>
      <c r="J386" s="182">
        <v>0.23599999999999999</v>
      </c>
      <c r="K386" s="182">
        <f t="shared" si="11"/>
        <v>0.21000000000000002</v>
      </c>
    </row>
    <row r="387" spans="1:11" s="117" customFormat="1" ht="30" x14ac:dyDescent="0.25">
      <c r="A387" s="172"/>
      <c r="B387" s="178"/>
      <c r="C387" s="178"/>
      <c r="D387" s="183">
        <v>2.4769999999999999</v>
      </c>
      <c r="E387" s="179" t="s">
        <v>417</v>
      </c>
      <c r="F387" s="180">
        <v>2.4769999999999999</v>
      </c>
      <c r="G387" s="178"/>
      <c r="H387" s="178"/>
      <c r="I387" s="179" t="s">
        <v>417</v>
      </c>
      <c r="J387" s="182">
        <v>0.495</v>
      </c>
      <c r="K387" s="182">
        <f t="shared" si="11"/>
        <v>1.9819999999999998</v>
      </c>
    </row>
    <row r="388" spans="1:11" s="117" customFormat="1" x14ac:dyDescent="0.25">
      <c r="A388" s="172"/>
      <c r="B388" s="178"/>
      <c r="C388" s="178"/>
      <c r="D388" s="183">
        <v>0.35299999999999998</v>
      </c>
      <c r="E388" s="179" t="s">
        <v>418</v>
      </c>
      <c r="F388" s="180">
        <v>0.35299999999999998</v>
      </c>
      <c r="G388" s="178"/>
      <c r="H388" s="178"/>
      <c r="I388" s="179" t="s">
        <v>418</v>
      </c>
      <c r="J388" s="182">
        <v>0.35299999999999998</v>
      </c>
      <c r="K388" s="182">
        <f t="shared" si="11"/>
        <v>0</v>
      </c>
    </row>
    <row r="389" spans="1:11" s="117" customFormat="1" x14ac:dyDescent="0.25">
      <c r="A389" s="172"/>
      <c r="B389" s="178"/>
      <c r="C389" s="178"/>
      <c r="D389" s="183">
        <v>1.03</v>
      </c>
      <c r="E389" s="179" t="s">
        <v>419</v>
      </c>
      <c r="F389" s="180">
        <v>1.03</v>
      </c>
      <c r="G389" s="178"/>
      <c r="H389" s="178"/>
      <c r="I389" s="179" t="s">
        <v>419</v>
      </c>
      <c r="J389" s="182">
        <v>1.03</v>
      </c>
      <c r="K389" s="182">
        <f t="shared" si="11"/>
        <v>0</v>
      </c>
    </row>
    <row r="390" spans="1:11" s="117" customFormat="1" ht="30" x14ac:dyDescent="0.25">
      <c r="A390" s="172"/>
      <c r="B390" s="178"/>
      <c r="C390" s="178"/>
      <c r="D390" s="183">
        <v>2.39</v>
      </c>
      <c r="E390" s="179" t="s">
        <v>420</v>
      </c>
      <c r="F390" s="180">
        <v>2.39</v>
      </c>
      <c r="G390" s="178"/>
      <c r="H390" s="178"/>
      <c r="I390" s="179" t="s">
        <v>420</v>
      </c>
      <c r="J390" s="182">
        <v>2.39</v>
      </c>
      <c r="K390" s="182">
        <f t="shared" si="11"/>
        <v>0</v>
      </c>
    </row>
    <row r="391" spans="1:11" s="117" customFormat="1" ht="30" x14ac:dyDescent="0.25">
      <c r="A391" s="172"/>
      <c r="B391" s="178"/>
      <c r="C391" s="178"/>
      <c r="D391" s="183">
        <v>0.08</v>
      </c>
      <c r="E391" s="179" t="s">
        <v>421</v>
      </c>
      <c r="F391" s="180">
        <v>0.08</v>
      </c>
      <c r="G391" s="178"/>
      <c r="H391" s="178"/>
      <c r="I391" s="179" t="s">
        <v>421</v>
      </c>
      <c r="J391" s="182">
        <v>4.0000000000000001E-3</v>
      </c>
      <c r="K391" s="182">
        <f t="shared" si="11"/>
        <v>7.5999999999999998E-2</v>
      </c>
    </row>
    <row r="392" spans="1:11" s="117" customFormat="1" ht="30" x14ac:dyDescent="0.25">
      <c r="A392" s="172"/>
      <c r="B392" s="178"/>
      <c r="C392" s="178"/>
      <c r="D392" s="183">
        <v>1.6379999999999999</v>
      </c>
      <c r="E392" s="179" t="s">
        <v>422</v>
      </c>
      <c r="F392" s="180">
        <v>1.6379999999999999</v>
      </c>
      <c r="G392" s="178"/>
      <c r="H392" s="178"/>
      <c r="I392" s="179" t="s">
        <v>422</v>
      </c>
      <c r="J392" s="182">
        <v>1.6379999999999999</v>
      </c>
      <c r="K392" s="182">
        <f>SUM(F392)-J392</f>
        <v>0</v>
      </c>
    </row>
    <row r="393" spans="1:11" s="117" customFormat="1" ht="30" x14ac:dyDescent="0.25">
      <c r="A393" s="172"/>
      <c r="B393" s="178"/>
      <c r="C393" s="178"/>
      <c r="D393" s="183">
        <v>0.18099999999999999</v>
      </c>
      <c r="E393" s="179" t="s">
        <v>423</v>
      </c>
      <c r="F393" s="180">
        <v>0.18099999999999999</v>
      </c>
      <c r="G393" s="178"/>
      <c r="H393" s="178"/>
      <c r="I393" s="179" t="s">
        <v>423</v>
      </c>
      <c r="J393" s="182">
        <v>1.6E-2</v>
      </c>
      <c r="K393" s="182">
        <f t="shared" ref="K393:K394" si="12">SUM(F393)-J393</f>
        <v>0.16499999999999998</v>
      </c>
    </row>
    <row r="394" spans="1:11" s="117" customFormat="1" ht="30" x14ac:dyDescent="0.25">
      <c r="A394" s="172"/>
      <c r="B394" s="178"/>
      <c r="C394" s="178"/>
      <c r="D394" s="183">
        <v>2.1999999999999999E-2</v>
      </c>
      <c r="E394" s="179" t="s">
        <v>424</v>
      </c>
      <c r="F394" s="180">
        <v>2.1999999999999999E-2</v>
      </c>
      <c r="G394" s="178"/>
      <c r="H394" s="178"/>
      <c r="I394" s="179" t="s">
        <v>424</v>
      </c>
      <c r="J394" s="182"/>
      <c r="K394" s="182">
        <f t="shared" si="12"/>
        <v>2.1999999999999999E-2</v>
      </c>
    </row>
    <row r="395" spans="1:11" s="117" customFormat="1" ht="30" x14ac:dyDescent="0.25">
      <c r="A395" s="172"/>
      <c r="B395" s="178"/>
      <c r="C395" s="178"/>
      <c r="D395" s="183">
        <v>0.11</v>
      </c>
      <c r="E395" s="179" t="s">
        <v>425</v>
      </c>
      <c r="F395" s="180">
        <v>0.11</v>
      </c>
      <c r="G395" s="178"/>
      <c r="H395" s="178"/>
      <c r="I395" s="179" t="s">
        <v>425</v>
      </c>
      <c r="J395" s="182">
        <v>4.7E-2</v>
      </c>
      <c r="K395" s="182">
        <f t="shared" si="11"/>
        <v>6.3E-2</v>
      </c>
    </row>
    <row r="396" spans="1:11" s="117" customFormat="1" ht="30" x14ac:dyDescent="0.25">
      <c r="A396" s="172"/>
      <c r="B396" s="178"/>
      <c r="C396" s="178"/>
      <c r="D396" s="183">
        <v>3.101</v>
      </c>
      <c r="E396" s="179" t="s">
        <v>426</v>
      </c>
      <c r="F396" s="180">
        <v>3.101</v>
      </c>
      <c r="G396" s="178"/>
      <c r="H396" s="178"/>
      <c r="I396" s="179" t="s">
        <v>426</v>
      </c>
      <c r="J396" s="182">
        <v>1.532</v>
      </c>
      <c r="K396" s="182">
        <f t="shared" si="11"/>
        <v>1.569</v>
      </c>
    </row>
    <row r="397" spans="1:11" s="117" customFormat="1" ht="30" x14ac:dyDescent="0.25">
      <c r="A397" s="172"/>
      <c r="B397" s="178"/>
      <c r="C397" s="178"/>
      <c r="D397" s="183">
        <v>5.1999999999999998E-2</v>
      </c>
      <c r="E397" s="179" t="s">
        <v>427</v>
      </c>
      <c r="F397" s="180">
        <v>5.1999999999999998E-2</v>
      </c>
      <c r="G397" s="178"/>
      <c r="H397" s="178"/>
      <c r="I397" s="179" t="s">
        <v>427</v>
      </c>
      <c r="J397" s="182">
        <v>5.1999999999999998E-2</v>
      </c>
      <c r="K397" s="182">
        <f t="shared" si="11"/>
        <v>0</v>
      </c>
    </row>
    <row r="398" spans="1:11" s="117" customFormat="1" ht="30" x14ac:dyDescent="0.25">
      <c r="A398" s="172"/>
      <c r="B398" s="178"/>
      <c r="C398" s="178"/>
      <c r="D398" s="183">
        <v>3.2930000000000001</v>
      </c>
      <c r="E398" s="179" t="s">
        <v>428</v>
      </c>
      <c r="F398" s="180">
        <v>3.2930000000000001</v>
      </c>
      <c r="G398" s="178"/>
      <c r="H398" s="178"/>
      <c r="I398" s="179" t="s">
        <v>428</v>
      </c>
      <c r="J398" s="182">
        <v>2.1659999999999999</v>
      </c>
      <c r="K398" s="182">
        <f t="shared" si="11"/>
        <v>1.1270000000000002</v>
      </c>
    </row>
    <row r="399" spans="1:11" s="117" customFormat="1" ht="30" x14ac:dyDescent="0.25">
      <c r="A399" s="172"/>
      <c r="B399" s="178"/>
      <c r="C399" s="178"/>
      <c r="D399" s="183">
        <v>0.23100000000000001</v>
      </c>
      <c r="E399" s="179" t="s">
        <v>429</v>
      </c>
      <c r="F399" s="180">
        <v>0.23100000000000001</v>
      </c>
      <c r="G399" s="178"/>
      <c r="H399" s="178"/>
      <c r="I399" s="179" t="s">
        <v>429</v>
      </c>
      <c r="J399" s="182">
        <v>0.154</v>
      </c>
      <c r="K399" s="182">
        <f t="shared" si="11"/>
        <v>7.7000000000000013E-2</v>
      </c>
    </row>
    <row r="400" spans="1:11" s="117" customFormat="1" ht="30" x14ac:dyDescent="0.25">
      <c r="A400" s="172"/>
      <c r="B400" s="178"/>
      <c r="C400" s="178"/>
      <c r="D400" s="183">
        <v>8.6270000000000007</v>
      </c>
      <c r="E400" s="179" t="s">
        <v>430</v>
      </c>
      <c r="F400" s="180">
        <v>8.6270000000000007</v>
      </c>
      <c r="G400" s="178"/>
      <c r="H400" s="178"/>
      <c r="I400" s="179" t="s">
        <v>430</v>
      </c>
      <c r="J400" s="182">
        <v>5.2140000000000004</v>
      </c>
      <c r="K400" s="182">
        <f t="shared" si="11"/>
        <v>3.4130000000000003</v>
      </c>
    </row>
    <row r="401" spans="1:11" s="117" customFormat="1" ht="30" x14ac:dyDescent="0.25">
      <c r="A401" s="172"/>
      <c r="B401" s="178"/>
      <c r="C401" s="178"/>
      <c r="D401" s="183">
        <v>0.58599999999999997</v>
      </c>
      <c r="E401" s="179" t="s">
        <v>431</v>
      </c>
      <c r="F401" s="180">
        <v>0.58599999999999997</v>
      </c>
      <c r="G401" s="178"/>
      <c r="H401" s="178"/>
      <c r="I401" s="179" t="s">
        <v>431</v>
      </c>
      <c r="J401" s="182">
        <v>0.58599999999999997</v>
      </c>
      <c r="K401" s="182">
        <f t="shared" si="11"/>
        <v>0</v>
      </c>
    </row>
    <row r="402" spans="1:11" s="117" customFormat="1" ht="30" x14ac:dyDescent="0.25">
      <c r="A402" s="172"/>
      <c r="B402" s="178"/>
      <c r="C402" s="178"/>
      <c r="D402" s="183">
        <v>0.317</v>
      </c>
      <c r="E402" s="179" t="s">
        <v>432</v>
      </c>
      <c r="F402" s="180">
        <v>0.317</v>
      </c>
      <c r="G402" s="178"/>
      <c r="H402" s="178"/>
      <c r="I402" s="179" t="s">
        <v>432</v>
      </c>
      <c r="J402" s="182">
        <v>0.21099999999999999</v>
      </c>
      <c r="K402" s="182">
        <f t="shared" si="11"/>
        <v>0.10600000000000001</v>
      </c>
    </row>
    <row r="403" spans="1:11" s="117" customFormat="1" ht="30" x14ac:dyDescent="0.25">
      <c r="A403" s="172"/>
      <c r="B403" s="178"/>
      <c r="C403" s="178"/>
      <c r="D403" s="183">
        <v>1.6180000000000001</v>
      </c>
      <c r="E403" s="179" t="s">
        <v>433</v>
      </c>
      <c r="F403" s="180">
        <v>1.6180000000000001</v>
      </c>
      <c r="G403" s="178"/>
      <c r="H403" s="178"/>
      <c r="I403" s="179" t="s">
        <v>433</v>
      </c>
      <c r="J403" s="182">
        <v>0.92600000000000005</v>
      </c>
      <c r="K403" s="182">
        <f t="shared" si="11"/>
        <v>0.69200000000000006</v>
      </c>
    </row>
    <row r="404" spans="1:11" s="117" customFormat="1" ht="30" x14ac:dyDescent="0.25">
      <c r="A404" s="172"/>
      <c r="B404" s="178"/>
      <c r="C404" s="178"/>
      <c r="D404" s="183">
        <v>0.156</v>
      </c>
      <c r="E404" s="179" t="s">
        <v>434</v>
      </c>
      <c r="F404" s="180">
        <v>0.156</v>
      </c>
      <c r="G404" s="178"/>
      <c r="H404" s="178"/>
      <c r="I404" s="179" t="s">
        <v>434</v>
      </c>
      <c r="J404" s="182"/>
      <c r="K404" s="182">
        <f t="shared" si="11"/>
        <v>0.156</v>
      </c>
    </row>
    <row r="405" spans="1:11" s="117" customFormat="1" ht="30" x14ac:dyDescent="0.25">
      <c r="A405" s="172"/>
      <c r="B405" s="178"/>
      <c r="C405" s="178"/>
      <c r="D405" s="183">
        <v>0.161</v>
      </c>
      <c r="E405" s="179" t="s">
        <v>434</v>
      </c>
      <c r="F405" s="180">
        <v>0.161</v>
      </c>
      <c r="G405" s="178"/>
      <c r="H405" s="178"/>
      <c r="I405" s="179" t="s">
        <v>434</v>
      </c>
      <c r="J405" s="182">
        <v>0.161</v>
      </c>
      <c r="K405" s="182">
        <f t="shared" si="11"/>
        <v>0</v>
      </c>
    </row>
    <row r="406" spans="1:11" s="117" customFormat="1" ht="30" x14ac:dyDescent="0.25">
      <c r="A406" s="172"/>
      <c r="B406" s="178"/>
      <c r="C406" s="178"/>
      <c r="D406" s="183">
        <v>1.3759999999999999</v>
      </c>
      <c r="E406" s="179" t="s">
        <v>435</v>
      </c>
      <c r="F406" s="180">
        <v>1.3759999999999999</v>
      </c>
      <c r="G406" s="178"/>
      <c r="H406" s="178"/>
      <c r="I406" s="179" t="s">
        <v>435</v>
      </c>
      <c r="J406" s="182">
        <v>1.3759999999999999</v>
      </c>
      <c r="K406" s="182">
        <f t="shared" si="11"/>
        <v>0</v>
      </c>
    </row>
    <row r="407" spans="1:11" s="117" customFormat="1" x14ac:dyDescent="0.25">
      <c r="A407" s="172"/>
      <c r="B407" s="178"/>
      <c r="C407" s="178"/>
      <c r="D407" s="183">
        <v>0.55900000000000005</v>
      </c>
      <c r="E407" s="179" t="s">
        <v>436</v>
      </c>
      <c r="F407" s="180">
        <v>0.55900000000000005</v>
      </c>
      <c r="G407" s="178"/>
      <c r="H407" s="178"/>
      <c r="I407" s="179" t="s">
        <v>436</v>
      </c>
      <c r="J407" s="182">
        <v>0.27900000000000003</v>
      </c>
      <c r="K407" s="182">
        <f t="shared" si="11"/>
        <v>0.28000000000000003</v>
      </c>
    </row>
    <row r="408" spans="1:11" s="117" customFormat="1" x14ac:dyDescent="0.25">
      <c r="A408" s="172"/>
      <c r="B408" s="178"/>
      <c r="C408" s="178"/>
      <c r="D408" s="183">
        <v>0.24099999999999999</v>
      </c>
      <c r="E408" s="179" t="s">
        <v>437</v>
      </c>
      <c r="F408" s="180">
        <v>0.24099999999999999</v>
      </c>
      <c r="G408" s="178"/>
      <c r="H408" s="178"/>
      <c r="I408" s="179" t="s">
        <v>437</v>
      </c>
      <c r="J408" s="182">
        <v>0.13500000000000001</v>
      </c>
      <c r="K408" s="182">
        <f t="shared" si="11"/>
        <v>0.10599999999999998</v>
      </c>
    </row>
    <row r="409" spans="1:11" s="117" customFormat="1" ht="30" x14ac:dyDescent="0.25">
      <c r="A409" s="172"/>
      <c r="B409" s="178"/>
      <c r="C409" s="178"/>
      <c r="D409" s="183">
        <v>1.4890000000000001</v>
      </c>
      <c r="E409" s="179" t="s">
        <v>438</v>
      </c>
      <c r="F409" s="180">
        <v>1.4890000000000001</v>
      </c>
      <c r="G409" s="178"/>
      <c r="H409" s="178"/>
      <c r="I409" s="179" t="s">
        <v>438</v>
      </c>
      <c r="J409" s="182">
        <v>0.38</v>
      </c>
      <c r="K409" s="182">
        <f t="shared" si="11"/>
        <v>1.109</v>
      </c>
    </row>
    <row r="410" spans="1:11" s="117" customFormat="1" ht="30" x14ac:dyDescent="0.25">
      <c r="A410" s="172"/>
      <c r="B410" s="178"/>
      <c r="C410" s="178"/>
      <c r="D410" s="183">
        <v>0.20899999999999999</v>
      </c>
      <c r="E410" s="179" t="s">
        <v>439</v>
      </c>
      <c r="F410" s="180">
        <v>0.20899999999999999</v>
      </c>
      <c r="G410" s="178"/>
      <c r="H410" s="178"/>
      <c r="I410" s="179" t="s">
        <v>439</v>
      </c>
      <c r="J410" s="182">
        <v>5.8000000000000003E-2</v>
      </c>
      <c r="K410" s="182">
        <f t="shared" si="11"/>
        <v>0.151</v>
      </c>
    </row>
    <row r="411" spans="1:11" s="117" customFormat="1" ht="30" x14ac:dyDescent="0.25">
      <c r="A411" s="172"/>
      <c r="B411" s="178"/>
      <c r="C411" s="178"/>
      <c r="D411" s="183">
        <v>0.03</v>
      </c>
      <c r="E411" s="179" t="s">
        <v>440</v>
      </c>
      <c r="F411" s="180">
        <v>0.03</v>
      </c>
      <c r="G411" s="178"/>
      <c r="H411" s="178"/>
      <c r="I411" s="179" t="s">
        <v>440</v>
      </c>
      <c r="J411" s="182"/>
      <c r="K411" s="182">
        <f t="shared" si="11"/>
        <v>0.03</v>
      </c>
    </row>
    <row r="412" spans="1:11" s="117" customFormat="1" ht="30" x14ac:dyDescent="0.25">
      <c r="A412" s="172"/>
      <c r="B412" s="178"/>
      <c r="C412" s="178"/>
      <c r="D412" s="183">
        <v>1.6E-2</v>
      </c>
      <c r="E412" s="179" t="s">
        <v>441</v>
      </c>
      <c r="F412" s="180">
        <v>1.6E-2</v>
      </c>
      <c r="G412" s="178"/>
      <c r="H412" s="178"/>
      <c r="I412" s="179" t="s">
        <v>441</v>
      </c>
      <c r="J412" s="182"/>
      <c r="K412" s="182">
        <f t="shared" si="11"/>
        <v>1.6E-2</v>
      </c>
    </row>
    <row r="413" spans="1:11" s="117" customFormat="1" ht="30" x14ac:dyDescent="0.25">
      <c r="A413" s="172"/>
      <c r="B413" s="178"/>
      <c r="C413" s="178"/>
      <c r="D413" s="183">
        <v>2.1000000000000001E-2</v>
      </c>
      <c r="E413" s="179" t="s">
        <v>442</v>
      </c>
      <c r="F413" s="180">
        <v>2.1000000000000001E-2</v>
      </c>
      <c r="G413" s="178"/>
      <c r="H413" s="178"/>
      <c r="I413" s="179" t="s">
        <v>442</v>
      </c>
      <c r="J413" s="182"/>
      <c r="K413" s="182">
        <f t="shared" si="11"/>
        <v>2.1000000000000001E-2</v>
      </c>
    </row>
    <row r="414" spans="1:11" s="117" customFormat="1" ht="30" x14ac:dyDescent="0.25">
      <c r="A414" s="172"/>
      <c r="B414" s="178"/>
      <c r="C414" s="178"/>
      <c r="D414" s="183">
        <v>0.54600000000000004</v>
      </c>
      <c r="E414" s="179" t="s">
        <v>443</v>
      </c>
      <c r="F414" s="180">
        <v>0.54600000000000004</v>
      </c>
      <c r="G414" s="178"/>
      <c r="H414" s="178"/>
      <c r="I414" s="179" t="s">
        <v>443</v>
      </c>
      <c r="J414" s="182">
        <v>0.47699999999999998</v>
      </c>
      <c r="K414" s="182">
        <f t="shared" si="11"/>
        <v>6.9000000000000061E-2</v>
      </c>
    </row>
    <row r="415" spans="1:11" s="117" customFormat="1" ht="30" x14ac:dyDescent="0.25">
      <c r="A415" s="172"/>
      <c r="B415" s="178"/>
      <c r="C415" s="178"/>
      <c r="D415" s="183">
        <v>1.345</v>
      </c>
      <c r="E415" s="179" t="s">
        <v>444</v>
      </c>
      <c r="F415" s="180">
        <v>1.345</v>
      </c>
      <c r="G415" s="178"/>
      <c r="H415" s="178"/>
      <c r="I415" s="179" t="s">
        <v>444</v>
      </c>
      <c r="J415" s="182">
        <v>0.80700000000000005</v>
      </c>
      <c r="K415" s="182">
        <f t="shared" si="11"/>
        <v>0.53799999999999992</v>
      </c>
    </row>
    <row r="416" spans="1:11" s="117" customFormat="1" ht="30" x14ac:dyDescent="0.25">
      <c r="A416" s="172"/>
      <c r="B416" s="178"/>
      <c r="C416" s="178"/>
      <c r="D416" s="183">
        <v>0.80500000000000005</v>
      </c>
      <c r="E416" s="179" t="s">
        <v>445</v>
      </c>
      <c r="F416" s="180">
        <v>0.80500000000000005</v>
      </c>
      <c r="G416" s="178"/>
      <c r="H416" s="178"/>
      <c r="I416" s="179" t="s">
        <v>445</v>
      </c>
      <c r="J416" s="182">
        <v>0.32200000000000001</v>
      </c>
      <c r="K416" s="182">
        <f t="shared" si="11"/>
        <v>0.48300000000000004</v>
      </c>
    </row>
    <row r="417" spans="1:11" s="117" customFormat="1" ht="30" x14ac:dyDescent="0.25">
      <c r="A417" s="172"/>
      <c r="B417" s="178"/>
      <c r="C417" s="178"/>
      <c r="D417" s="183">
        <v>2.9000000000000001E-2</v>
      </c>
      <c r="E417" s="179" t="s">
        <v>446</v>
      </c>
      <c r="F417" s="180">
        <v>2.9000000000000001E-2</v>
      </c>
      <c r="G417" s="178"/>
      <c r="H417" s="178"/>
      <c r="I417" s="179" t="s">
        <v>446</v>
      </c>
      <c r="J417" s="182"/>
      <c r="K417" s="182">
        <f t="shared" si="11"/>
        <v>2.9000000000000001E-2</v>
      </c>
    </row>
    <row r="418" spans="1:11" s="117" customFormat="1" ht="30" x14ac:dyDescent="0.25">
      <c r="A418" s="172"/>
      <c r="B418" s="178"/>
      <c r="C418" s="178"/>
      <c r="D418" s="183">
        <v>0.47799999999999998</v>
      </c>
      <c r="E418" s="179" t="s">
        <v>447</v>
      </c>
      <c r="F418" s="180">
        <v>0.47799999999999998</v>
      </c>
      <c r="G418" s="178"/>
      <c r="H418" s="178"/>
      <c r="I418" s="179" t="s">
        <v>447</v>
      </c>
      <c r="J418" s="182">
        <v>0.47799999999999998</v>
      </c>
      <c r="K418" s="182">
        <f t="shared" si="11"/>
        <v>0</v>
      </c>
    </row>
    <row r="419" spans="1:11" s="117" customFormat="1" ht="30" x14ac:dyDescent="0.25">
      <c r="A419" s="172"/>
      <c r="B419" s="178"/>
      <c r="C419" s="178"/>
      <c r="D419" s="183">
        <v>0.11700000000000001</v>
      </c>
      <c r="E419" s="179" t="s">
        <v>448</v>
      </c>
      <c r="F419" s="180">
        <v>0.11700000000000001</v>
      </c>
      <c r="G419" s="178"/>
      <c r="H419" s="178"/>
      <c r="I419" s="179" t="s">
        <v>448</v>
      </c>
      <c r="J419" s="182"/>
      <c r="K419" s="182">
        <f t="shared" si="11"/>
        <v>0.11700000000000001</v>
      </c>
    </row>
    <row r="420" spans="1:11" s="117" customFormat="1" ht="30" x14ac:dyDescent="0.25">
      <c r="A420" s="172"/>
      <c r="B420" s="178"/>
      <c r="C420" s="178"/>
      <c r="D420" s="183">
        <v>0.66800000000000004</v>
      </c>
      <c r="E420" s="179" t="s">
        <v>449</v>
      </c>
      <c r="F420" s="180">
        <v>0.66800000000000004</v>
      </c>
      <c r="G420" s="178"/>
      <c r="H420" s="178"/>
      <c r="I420" s="179" t="s">
        <v>449</v>
      </c>
      <c r="J420" s="182">
        <v>0.26700000000000002</v>
      </c>
      <c r="K420" s="182">
        <f t="shared" si="11"/>
        <v>0.40100000000000002</v>
      </c>
    </row>
    <row r="421" spans="1:11" s="117" customFormat="1" ht="30" x14ac:dyDescent="0.25">
      <c r="A421" s="172"/>
      <c r="B421" s="178"/>
      <c r="C421" s="178"/>
      <c r="D421" s="183">
        <v>0.64700000000000002</v>
      </c>
      <c r="E421" s="179" t="s">
        <v>450</v>
      </c>
      <c r="F421" s="180">
        <v>0.64700000000000002</v>
      </c>
      <c r="G421" s="178"/>
      <c r="H421" s="178"/>
      <c r="I421" s="179" t="s">
        <v>450</v>
      </c>
      <c r="J421" s="182">
        <v>6.4000000000000001E-2</v>
      </c>
      <c r="K421" s="182">
        <f t="shared" si="11"/>
        <v>0.58299999999999996</v>
      </c>
    </row>
    <row r="422" spans="1:11" s="117" customFormat="1" ht="30" x14ac:dyDescent="0.25">
      <c r="A422" s="172"/>
      <c r="B422" s="178"/>
      <c r="C422" s="178"/>
      <c r="D422" s="183">
        <v>0.185</v>
      </c>
      <c r="E422" s="179" t="s">
        <v>451</v>
      </c>
      <c r="F422" s="180">
        <v>0.185</v>
      </c>
      <c r="G422" s="178"/>
      <c r="H422" s="178"/>
      <c r="I422" s="179" t="s">
        <v>451</v>
      </c>
      <c r="J422" s="182"/>
      <c r="K422" s="182">
        <f t="shared" si="11"/>
        <v>0.185</v>
      </c>
    </row>
    <row r="423" spans="1:11" s="117" customFormat="1" x14ac:dyDescent="0.25">
      <c r="A423" s="172"/>
      <c r="B423" s="178"/>
      <c r="C423" s="178"/>
      <c r="D423" s="183">
        <v>0.33300000000000002</v>
      </c>
      <c r="E423" s="179" t="s">
        <v>452</v>
      </c>
      <c r="F423" s="180">
        <v>0.33300000000000002</v>
      </c>
      <c r="G423" s="178"/>
      <c r="H423" s="178"/>
      <c r="I423" s="179" t="s">
        <v>452</v>
      </c>
      <c r="J423" s="182">
        <v>0.191</v>
      </c>
      <c r="K423" s="182">
        <f t="shared" si="11"/>
        <v>0.14200000000000002</v>
      </c>
    </row>
    <row r="424" spans="1:11" s="117" customFormat="1" ht="30" x14ac:dyDescent="0.25">
      <c r="A424" s="172"/>
      <c r="B424" s="178"/>
      <c r="C424" s="178"/>
      <c r="D424" s="183">
        <v>0.51700000000000002</v>
      </c>
      <c r="E424" s="179" t="s">
        <v>453</v>
      </c>
      <c r="F424" s="180">
        <v>0.51700000000000002</v>
      </c>
      <c r="G424" s="178"/>
      <c r="H424" s="178"/>
      <c r="I424" s="179" t="s">
        <v>453</v>
      </c>
      <c r="J424" s="182">
        <v>0.108</v>
      </c>
      <c r="K424" s="182">
        <f t="shared" si="11"/>
        <v>0.40900000000000003</v>
      </c>
    </row>
    <row r="425" spans="1:11" s="117" customFormat="1" ht="13.5" customHeight="1" x14ac:dyDescent="0.25">
      <c r="A425" s="172"/>
      <c r="B425" s="178"/>
      <c r="C425" s="178"/>
      <c r="D425" s="183">
        <f>4.886+0.00086</f>
        <v>4.8868600000000004</v>
      </c>
      <c r="E425" s="179" t="s">
        <v>454</v>
      </c>
      <c r="F425" s="180">
        <f>D425</f>
        <v>4.8868600000000004</v>
      </c>
      <c r="G425" s="178"/>
      <c r="H425" s="178"/>
      <c r="I425" s="179" t="s">
        <v>454</v>
      </c>
      <c r="J425" s="182">
        <v>1.734</v>
      </c>
      <c r="K425" s="182">
        <f>SUM(F425)-J425-0.001</f>
        <v>3.1518600000000006</v>
      </c>
    </row>
    <row r="426" spans="1:11" s="117" customFormat="1" hidden="1" x14ac:dyDescent="0.25">
      <c r="A426" s="172"/>
      <c r="B426" s="178"/>
      <c r="C426" s="178"/>
      <c r="D426" s="183"/>
      <c r="E426" s="179"/>
      <c r="F426" s="180"/>
      <c r="G426" s="178"/>
      <c r="H426" s="178"/>
      <c r="I426" s="179"/>
      <c r="J426" s="182"/>
      <c r="K426" s="182"/>
    </row>
    <row r="427" spans="1:11" s="117" customFormat="1" hidden="1" x14ac:dyDescent="0.25">
      <c r="A427" s="176"/>
      <c r="B427" s="185"/>
      <c r="C427" s="185"/>
      <c r="D427" s="183"/>
      <c r="E427" s="185"/>
      <c r="F427" s="185"/>
      <c r="G427" s="185"/>
      <c r="H427" s="183"/>
      <c r="I427" s="185"/>
      <c r="J427" s="182"/>
      <c r="K427" s="185"/>
    </row>
    <row r="428" spans="1:11" s="117" customFormat="1" x14ac:dyDescent="0.25">
      <c r="A428" s="176"/>
      <c r="B428" s="185" t="s">
        <v>401</v>
      </c>
      <c r="C428" s="188">
        <v>4.4980000000000002</v>
      </c>
      <c r="D428" s="183"/>
      <c r="E428" s="185"/>
      <c r="F428" s="106"/>
      <c r="G428" s="185" t="s">
        <v>456</v>
      </c>
      <c r="H428" s="185">
        <v>8.7189999999999994</v>
      </c>
      <c r="I428" s="185"/>
      <c r="J428" s="182"/>
      <c r="K428" s="190">
        <v>9.1189999999999998</v>
      </c>
    </row>
    <row r="429" spans="1:11" ht="33" customHeight="1" x14ac:dyDescent="0.25">
      <c r="A429" s="175" t="s">
        <v>16</v>
      </c>
      <c r="B429" s="178"/>
      <c r="C429" s="106">
        <f>14.691+C115+C282+C427+C428</f>
        <v>51.193999999999996</v>
      </c>
      <c r="D429" s="106">
        <f>SUM(D13:D113)+SUM(D119:D205)+SUM(D206:D281)+SUM(D283:D425)</f>
        <v>926.88924999999995</v>
      </c>
      <c r="E429" s="6" t="s">
        <v>17</v>
      </c>
      <c r="F429" s="181">
        <f>C429+D429</f>
        <v>978.08324999999991</v>
      </c>
      <c r="G429" s="6" t="s">
        <v>17</v>
      </c>
      <c r="H429" s="170">
        <f>SUM(H115:H118)+H428</f>
        <v>42.075000000000003</v>
      </c>
      <c r="I429" s="130" t="s">
        <v>17</v>
      </c>
      <c r="J429" s="120">
        <f>SUM(J13:J281)+SUM(J283:J425)</f>
        <v>718.65174999999977</v>
      </c>
      <c r="K429" s="120">
        <f>SUM(K13:K281)+SUM(K283:K428)-K114</f>
        <v>217.35615000000004</v>
      </c>
    </row>
    <row r="430" spans="1:11" ht="21.75" customHeight="1" x14ac:dyDescent="0.25">
      <c r="A430" s="70"/>
      <c r="B430" s="64"/>
      <c r="C430" s="71"/>
      <c r="D430" s="107"/>
      <c r="E430" s="73"/>
      <c r="F430" s="74"/>
      <c r="G430" s="73"/>
      <c r="H430" s="75"/>
      <c r="I430" s="131"/>
      <c r="J430" s="132"/>
      <c r="K430" s="132"/>
    </row>
    <row r="431" spans="1:11" x14ac:dyDescent="0.25">
      <c r="F431" s="78"/>
      <c r="G431" s="191"/>
      <c r="H431" s="192"/>
    </row>
    <row r="432" spans="1:11" x14ac:dyDescent="0.25">
      <c r="B432" s="63" t="s">
        <v>347</v>
      </c>
      <c r="C432" s="67"/>
      <c r="D432" s="108"/>
      <c r="E432" s="65"/>
      <c r="F432" s="265" t="s">
        <v>349</v>
      </c>
      <c r="G432" s="265"/>
      <c r="H432" s="8"/>
      <c r="I432" s="112"/>
    </row>
    <row r="433" spans="1:11" x14ac:dyDescent="0.25">
      <c r="B433" s="63" t="s">
        <v>348</v>
      </c>
      <c r="C433" s="67"/>
      <c r="D433" s="109"/>
      <c r="E433" s="67"/>
      <c r="F433" s="174"/>
      <c r="G433" s="81"/>
      <c r="H433" s="8"/>
      <c r="I433" s="112"/>
    </row>
    <row r="434" spans="1:11" x14ac:dyDescent="0.25">
      <c r="B434" s="63"/>
      <c r="C434" s="8"/>
      <c r="D434" s="110"/>
      <c r="E434" s="8"/>
      <c r="F434" s="174"/>
      <c r="G434" s="81"/>
      <c r="H434" s="8"/>
      <c r="I434" s="112"/>
    </row>
    <row r="435" spans="1:11" x14ac:dyDescent="0.25">
      <c r="B435" s="63" t="s">
        <v>350</v>
      </c>
      <c r="C435" s="67"/>
      <c r="D435" s="108"/>
      <c r="E435" s="65"/>
      <c r="F435" s="265" t="s">
        <v>134</v>
      </c>
      <c r="G435" s="265"/>
      <c r="H435" s="8"/>
      <c r="I435" s="112"/>
    </row>
    <row r="436" spans="1:11" x14ac:dyDescent="0.25">
      <c r="B436" s="63" t="s">
        <v>351</v>
      </c>
      <c r="C436" s="67"/>
      <c r="D436" s="109"/>
      <c r="E436" s="67"/>
      <c r="F436" s="174"/>
      <c r="G436" s="81"/>
      <c r="H436" s="8"/>
      <c r="I436" s="112"/>
    </row>
    <row r="437" spans="1:11" s="31" customFormat="1" x14ac:dyDescent="0.25">
      <c r="A437"/>
      <c r="B437" s="63"/>
      <c r="C437" s="8"/>
      <c r="D437" s="110"/>
      <c r="E437" s="8"/>
      <c r="F437" s="174"/>
      <c r="G437" s="81"/>
      <c r="H437" s="8"/>
      <c r="I437" s="112"/>
      <c r="J437" s="113"/>
      <c r="K437" s="113"/>
    </row>
    <row r="438" spans="1:11" s="31" customFormat="1" x14ac:dyDescent="0.25">
      <c r="A438"/>
      <c r="B438" s="63" t="s">
        <v>298</v>
      </c>
      <c r="C438" s="65"/>
      <c r="D438" s="108"/>
      <c r="E438" s="65"/>
      <c r="F438" s="265" t="s">
        <v>135</v>
      </c>
      <c r="G438" s="265"/>
      <c r="H438" s="8"/>
      <c r="I438" s="112"/>
      <c r="J438" s="113"/>
      <c r="K438" s="113"/>
    </row>
    <row r="439" spans="1:11" x14ac:dyDescent="0.25">
      <c r="B439" s="63" t="s">
        <v>352</v>
      </c>
    </row>
  </sheetData>
  <mergeCells count="17">
    <mergeCell ref="D5:H5"/>
    <mergeCell ref="B6:J6"/>
    <mergeCell ref="B7:J7"/>
    <mergeCell ref="C8:I8"/>
    <mergeCell ref="A11:A12"/>
    <mergeCell ref="B11:B12"/>
    <mergeCell ref="C11:E11"/>
    <mergeCell ref="F11:F12"/>
    <mergeCell ref="G11:J11"/>
    <mergeCell ref="F435:G435"/>
    <mergeCell ref="F438:G438"/>
    <mergeCell ref="K11:K12"/>
    <mergeCell ref="A13:A114"/>
    <mergeCell ref="A115:A205"/>
    <mergeCell ref="A206:A282"/>
    <mergeCell ref="A283:A344"/>
    <mergeCell ref="F432:G432"/>
  </mergeCells>
  <pageMargins left="0.11811023622047245" right="0.11811023622047245" top="0.15748031496062992" bottom="0.15748031496062992" header="0" footer="0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532"/>
  <sheetViews>
    <sheetView tabSelected="1" topLeftCell="A201" zoomScaleNormal="100" workbookViewId="0">
      <selection activeCell="H175" sqref="H175"/>
    </sheetView>
  </sheetViews>
  <sheetFormatPr defaultRowHeight="15" x14ac:dyDescent="0.25"/>
  <cols>
    <col min="1" max="1" width="9.42578125" customWidth="1"/>
    <col min="2" max="2" width="19.85546875" style="117" customWidth="1"/>
    <col min="3" max="3" width="9.42578125" style="117" customWidth="1"/>
    <col min="4" max="4" width="14.85546875" style="113" customWidth="1"/>
    <col min="5" max="5" width="25.7109375" style="117" customWidth="1"/>
    <col min="6" max="6" width="14.5703125" style="229" customWidth="1"/>
    <col min="7" max="7" width="15" style="117" customWidth="1"/>
    <col min="8" max="8" width="10" style="117" customWidth="1"/>
    <col min="9" max="9" width="26.140625" style="117" customWidth="1"/>
    <col min="10" max="10" width="9.42578125" style="113" customWidth="1"/>
    <col min="11" max="11" width="18.42578125" style="113" customWidth="1"/>
  </cols>
  <sheetData>
    <row r="1" spans="1:11" x14ac:dyDescent="0.25">
      <c r="I1" s="112" t="s">
        <v>19</v>
      </c>
    </row>
    <row r="2" spans="1:11" x14ac:dyDescent="0.25">
      <c r="I2" s="112" t="s">
        <v>20</v>
      </c>
    </row>
    <row r="3" spans="1:11" x14ac:dyDescent="0.25">
      <c r="I3" s="112" t="s">
        <v>21</v>
      </c>
    </row>
    <row r="5" spans="1:11" ht="18.75" x14ac:dyDescent="0.3">
      <c r="B5" s="114"/>
      <c r="C5" s="114"/>
      <c r="D5" s="279" t="s">
        <v>18</v>
      </c>
      <c r="E5" s="279"/>
      <c r="F5" s="279"/>
      <c r="G5" s="279"/>
      <c r="H5" s="279"/>
      <c r="I5" s="114"/>
      <c r="J5" s="115"/>
    </row>
    <row r="6" spans="1:11" ht="18.75" x14ac:dyDescent="0.3">
      <c r="B6" s="280" t="s">
        <v>49</v>
      </c>
      <c r="C6" s="280"/>
      <c r="D6" s="280"/>
      <c r="E6" s="280"/>
      <c r="F6" s="280"/>
      <c r="G6" s="280"/>
      <c r="H6" s="280"/>
      <c r="I6" s="280"/>
      <c r="J6" s="280"/>
    </row>
    <row r="7" spans="1:11" ht="18.75" x14ac:dyDescent="0.3">
      <c r="B7" s="281" t="s">
        <v>457</v>
      </c>
      <c r="C7" s="281"/>
      <c r="D7" s="281"/>
      <c r="E7" s="281"/>
      <c r="F7" s="281"/>
      <c r="G7" s="281"/>
      <c r="H7" s="281"/>
      <c r="I7" s="281"/>
      <c r="J7" s="281"/>
    </row>
    <row r="8" spans="1:11" x14ac:dyDescent="0.25">
      <c r="B8" s="205"/>
      <c r="C8" s="282" t="s">
        <v>50</v>
      </c>
      <c r="D8" s="283"/>
      <c r="E8" s="283"/>
      <c r="F8" s="283"/>
      <c r="G8" s="283"/>
      <c r="H8" s="283"/>
      <c r="I8" s="283"/>
      <c r="J8" s="116"/>
    </row>
    <row r="9" spans="1:11" x14ac:dyDescent="0.25">
      <c r="D9" s="96"/>
      <c r="E9" s="206"/>
      <c r="F9" s="96"/>
      <c r="G9" s="206"/>
      <c r="H9" s="206"/>
    </row>
    <row r="11" spans="1:11" ht="56.25" customHeight="1" x14ac:dyDescent="0.25">
      <c r="A11" s="264" t="s">
        <v>0</v>
      </c>
      <c r="B11" s="284" t="s">
        <v>1</v>
      </c>
      <c r="C11" s="285" t="s">
        <v>2</v>
      </c>
      <c r="D11" s="286"/>
      <c r="E11" s="287"/>
      <c r="F11" s="288" t="s">
        <v>6</v>
      </c>
      <c r="G11" s="289" t="s">
        <v>7</v>
      </c>
      <c r="H11" s="290"/>
      <c r="I11" s="290"/>
      <c r="J11" s="291"/>
      <c r="K11" s="269" t="s">
        <v>11</v>
      </c>
    </row>
    <row r="12" spans="1:11" ht="90.75" customHeight="1" x14ac:dyDescent="0.25">
      <c r="A12" s="264"/>
      <c r="B12" s="284"/>
      <c r="C12" s="207" t="s">
        <v>3</v>
      </c>
      <c r="D12" s="97" t="s">
        <v>4</v>
      </c>
      <c r="E12" s="208" t="s">
        <v>5</v>
      </c>
      <c r="F12" s="288"/>
      <c r="G12" s="118" t="s">
        <v>8</v>
      </c>
      <c r="H12" s="207" t="s">
        <v>9</v>
      </c>
      <c r="I12" s="118" t="s">
        <v>10</v>
      </c>
      <c r="J12" s="198" t="s">
        <v>9</v>
      </c>
      <c r="K12" s="269"/>
    </row>
    <row r="13" spans="1:11" ht="51" customHeight="1" x14ac:dyDescent="0.3">
      <c r="A13" s="262" t="s">
        <v>13</v>
      </c>
      <c r="B13" s="209" t="s">
        <v>22</v>
      </c>
      <c r="C13" s="210"/>
      <c r="D13" s="198">
        <v>2.625</v>
      </c>
      <c r="E13" s="119" t="s">
        <v>458</v>
      </c>
      <c r="F13" s="199">
        <f>D13</f>
        <v>2.625</v>
      </c>
      <c r="G13" s="123"/>
      <c r="H13" s="123"/>
      <c r="I13" s="119" t="s">
        <v>458</v>
      </c>
      <c r="J13" s="198">
        <v>2.625</v>
      </c>
      <c r="K13" s="120">
        <v>0</v>
      </c>
    </row>
    <row r="14" spans="1:11" ht="16.5" customHeight="1" x14ac:dyDescent="0.25">
      <c r="A14" s="266"/>
      <c r="B14" s="123"/>
      <c r="C14" s="210"/>
      <c r="D14" s="198">
        <v>2.1779999999999999</v>
      </c>
      <c r="E14" s="119" t="s">
        <v>459</v>
      </c>
      <c r="F14" s="199">
        <f>D14</f>
        <v>2.1779999999999999</v>
      </c>
      <c r="G14" s="123"/>
      <c r="H14" s="123"/>
      <c r="I14" s="119" t="s">
        <v>459</v>
      </c>
      <c r="J14" s="101">
        <v>2.1779999999999999</v>
      </c>
      <c r="K14" s="101">
        <v>0</v>
      </c>
    </row>
    <row r="15" spans="1:11" ht="92.25" customHeight="1" x14ac:dyDescent="0.25">
      <c r="A15" s="266"/>
      <c r="B15" s="123"/>
      <c r="C15" s="210"/>
      <c r="D15" s="198">
        <v>0.15</v>
      </c>
      <c r="E15" s="119" t="s">
        <v>460</v>
      </c>
      <c r="F15" s="199">
        <f>D15</f>
        <v>0.15</v>
      </c>
      <c r="G15" s="123"/>
      <c r="H15" s="123"/>
      <c r="I15" s="119" t="s">
        <v>460</v>
      </c>
      <c r="J15" s="198">
        <v>0.15</v>
      </c>
      <c r="K15" s="101">
        <v>0</v>
      </c>
    </row>
    <row r="16" spans="1:11" x14ac:dyDescent="0.25">
      <c r="A16" s="266"/>
      <c r="B16" s="123"/>
      <c r="C16" s="210"/>
      <c r="D16" s="198">
        <v>0.28000000000000003</v>
      </c>
      <c r="E16" s="119" t="s">
        <v>24</v>
      </c>
      <c r="F16" s="199">
        <f>D16</f>
        <v>0.28000000000000003</v>
      </c>
      <c r="G16" s="123"/>
      <c r="H16" s="123"/>
      <c r="I16" s="119" t="s">
        <v>24</v>
      </c>
      <c r="J16" s="198">
        <v>0.28000000000000003</v>
      </c>
      <c r="K16" s="101">
        <v>0</v>
      </c>
    </row>
    <row r="17" spans="1:11" ht="18.75" customHeight="1" x14ac:dyDescent="0.25">
      <c r="A17" s="266"/>
      <c r="B17" s="123"/>
      <c r="C17" s="210"/>
      <c r="D17" s="198">
        <v>1.302</v>
      </c>
      <c r="E17" s="119" t="s">
        <v>36</v>
      </c>
      <c r="F17" s="199">
        <f>D17</f>
        <v>1.302</v>
      </c>
      <c r="G17" s="123"/>
      <c r="H17" s="123"/>
      <c r="I17" s="119" t="s">
        <v>36</v>
      </c>
      <c r="J17" s="198">
        <v>1.302</v>
      </c>
      <c r="K17" s="101">
        <v>0</v>
      </c>
    </row>
    <row r="18" spans="1:11" ht="19.5" customHeight="1" x14ac:dyDescent="0.25">
      <c r="A18" s="266"/>
      <c r="B18" s="123"/>
      <c r="C18" s="210"/>
      <c r="D18" s="99">
        <v>1.304</v>
      </c>
      <c r="E18" s="119" t="s">
        <v>461</v>
      </c>
      <c r="F18" s="199">
        <v>1.304</v>
      </c>
      <c r="G18" s="123"/>
      <c r="H18" s="123"/>
      <c r="I18" s="119" t="s">
        <v>461</v>
      </c>
      <c r="J18" s="99">
        <v>1.304</v>
      </c>
      <c r="K18" s="101">
        <v>0</v>
      </c>
    </row>
    <row r="19" spans="1:11" ht="21" customHeight="1" x14ac:dyDescent="0.25">
      <c r="A19" s="266"/>
      <c r="B19" s="123"/>
      <c r="C19" s="210"/>
      <c r="D19" s="198">
        <v>17.263999999999999</v>
      </c>
      <c r="E19" s="119" t="s">
        <v>25</v>
      </c>
      <c r="F19" s="199">
        <f t="shared" ref="F19:F50" si="0">D19</f>
        <v>17.263999999999999</v>
      </c>
      <c r="G19" s="123"/>
      <c r="H19" s="123"/>
      <c r="I19" s="119" t="s">
        <v>25</v>
      </c>
      <c r="J19" s="198">
        <v>17.263999999999999</v>
      </c>
      <c r="K19" s="101">
        <v>0</v>
      </c>
    </row>
    <row r="20" spans="1:11" ht="30" x14ac:dyDescent="0.25">
      <c r="A20" s="266"/>
      <c r="B20" s="123"/>
      <c r="C20" s="210"/>
      <c r="D20" s="198">
        <v>8.1</v>
      </c>
      <c r="E20" s="119" t="s">
        <v>463</v>
      </c>
      <c r="F20" s="199">
        <f t="shared" si="0"/>
        <v>8.1</v>
      </c>
      <c r="G20" s="123"/>
      <c r="H20" s="123"/>
      <c r="I20" s="119" t="s">
        <v>463</v>
      </c>
      <c r="J20" s="198">
        <v>8.1</v>
      </c>
      <c r="K20" s="101">
        <v>0</v>
      </c>
    </row>
    <row r="21" spans="1:11" ht="45" x14ac:dyDescent="0.25">
      <c r="A21" s="266"/>
      <c r="B21" s="123"/>
      <c r="C21" s="210"/>
      <c r="D21" s="198">
        <v>1.302</v>
      </c>
      <c r="E21" s="119" t="s">
        <v>462</v>
      </c>
      <c r="F21" s="199">
        <f t="shared" si="0"/>
        <v>1.302</v>
      </c>
      <c r="G21" s="123"/>
      <c r="H21" s="123"/>
      <c r="I21" s="119" t="s">
        <v>462</v>
      </c>
      <c r="J21" s="198">
        <v>1.302</v>
      </c>
      <c r="K21" s="101">
        <v>0</v>
      </c>
    </row>
    <row r="22" spans="1:11" x14ac:dyDescent="0.25">
      <c r="A22" s="266"/>
      <c r="B22" s="123"/>
      <c r="C22" s="210"/>
      <c r="D22" s="193">
        <v>0.3</v>
      </c>
      <c r="E22" s="194" t="s">
        <v>464</v>
      </c>
      <c r="F22" s="199">
        <f t="shared" si="0"/>
        <v>0.3</v>
      </c>
      <c r="G22" s="123"/>
      <c r="H22" s="123"/>
      <c r="I22" s="194" t="s">
        <v>464</v>
      </c>
      <c r="J22" s="193">
        <v>0.3</v>
      </c>
      <c r="K22" s="101">
        <v>0</v>
      </c>
    </row>
    <row r="23" spans="1:11" ht="30" x14ac:dyDescent="0.25">
      <c r="A23" s="266"/>
      <c r="B23" s="123"/>
      <c r="C23" s="210"/>
      <c r="D23" s="193">
        <v>0.44700000000000001</v>
      </c>
      <c r="E23" s="194" t="s">
        <v>319</v>
      </c>
      <c r="F23" s="199">
        <f t="shared" si="0"/>
        <v>0.44700000000000001</v>
      </c>
      <c r="G23" s="123"/>
      <c r="H23" s="123"/>
      <c r="I23" s="194" t="s">
        <v>319</v>
      </c>
      <c r="J23" s="193">
        <v>0.44700000000000001</v>
      </c>
      <c r="K23" s="101">
        <v>0</v>
      </c>
    </row>
    <row r="24" spans="1:11" ht="60" x14ac:dyDescent="0.25">
      <c r="A24" s="266"/>
      <c r="B24" s="123"/>
      <c r="C24" s="210"/>
      <c r="D24" s="193">
        <v>21.324000000000002</v>
      </c>
      <c r="E24" s="194" t="s">
        <v>466</v>
      </c>
      <c r="F24" s="199">
        <f t="shared" si="0"/>
        <v>21.324000000000002</v>
      </c>
      <c r="G24" s="123"/>
      <c r="H24" s="123"/>
      <c r="I24" s="194" t="s">
        <v>466</v>
      </c>
      <c r="J24" s="193">
        <v>21.324000000000002</v>
      </c>
      <c r="K24" s="101">
        <v>0</v>
      </c>
    </row>
    <row r="25" spans="1:11" ht="60" x14ac:dyDescent="0.25">
      <c r="A25" s="266"/>
      <c r="B25" s="123"/>
      <c r="C25" s="210"/>
      <c r="D25" s="193">
        <v>20.78</v>
      </c>
      <c r="E25" s="194" t="s">
        <v>465</v>
      </c>
      <c r="F25" s="199">
        <f t="shared" si="0"/>
        <v>20.78</v>
      </c>
      <c r="G25" s="123"/>
      <c r="H25" s="123"/>
      <c r="I25" s="194" t="s">
        <v>465</v>
      </c>
      <c r="J25" s="193">
        <v>20.78</v>
      </c>
      <c r="K25" s="101">
        <v>0</v>
      </c>
    </row>
    <row r="26" spans="1:11" ht="25.5" customHeight="1" x14ac:dyDescent="0.25">
      <c r="A26" s="266"/>
      <c r="B26" s="123"/>
      <c r="C26" s="210"/>
      <c r="D26" s="193">
        <v>0.32200000000000001</v>
      </c>
      <c r="E26" s="194" t="s">
        <v>467</v>
      </c>
      <c r="F26" s="199">
        <f t="shared" si="0"/>
        <v>0.32200000000000001</v>
      </c>
      <c r="G26" s="123"/>
      <c r="H26" s="123"/>
      <c r="I26" s="194" t="s">
        <v>467</v>
      </c>
      <c r="J26" s="193">
        <v>0.32200000000000001</v>
      </c>
      <c r="K26" s="101">
        <v>0</v>
      </c>
    </row>
    <row r="27" spans="1:11" ht="36.75" customHeight="1" x14ac:dyDescent="0.25">
      <c r="A27" s="266"/>
      <c r="B27" s="123"/>
      <c r="C27" s="210"/>
      <c r="D27" s="193">
        <v>1.2</v>
      </c>
      <c r="E27" s="211" t="s">
        <v>115</v>
      </c>
      <c r="F27" s="200">
        <f t="shared" si="0"/>
        <v>1.2</v>
      </c>
      <c r="G27" s="212"/>
      <c r="H27" s="212"/>
      <c r="I27" s="211" t="s">
        <v>115</v>
      </c>
      <c r="J27" s="193">
        <v>1.2</v>
      </c>
      <c r="K27" s="101">
        <v>0</v>
      </c>
    </row>
    <row r="28" spans="1:11" ht="46.5" customHeight="1" x14ac:dyDescent="0.25">
      <c r="A28" s="266"/>
      <c r="B28" s="123"/>
      <c r="C28" s="210"/>
      <c r="D28" s="193">
        <v>1.1120000000000001</v>
      </c>
      <c r="E28" s="194" t="s">
        <v>468</v>
      </c>
      <c r="F28" s="199">
        <f t="shared" si="0"/>
        <v>1.1120000000000001</v>
      </c>
      <c r="G28" s="123"/>
      <c r="H28" s="123"/>
      <c r="I28" s="194" t="s">
        <v>468</v>
      </c>
      <c r="J28" s="193">
        <v>1.1120000000000001</v>
      </c>
      <c r="K28" s="101">
        <v>0</v>
      </c>
    </row>
    <row r="29" spans="1:11" ht="45" customHeight="1" x14ac:dyDescent="0.25">
      <c r="A29" s="266"/>
      <c r="B29" s="123"/>
      <c r="C29" s="210"/>
      <c r="D29" s="193">
        <v>0.56100000000000005</v>
      </c>
      <c r="E29" s="194" t="s">
        <v>468</v>
      </c>
      <c r="F29" s="199">
        <f t="shared" si="0"/>
        <v>0.56100000000000005</v>
      </c>
      <c r="G29" s="123"/>
      <c r="H29" s="123"/>
      <c r="I29" s="194" t="s">
        <v>468</v>
      </c>
      <c r="J29" s="193">
        <v>0.56100000000000005</v>
      </c>
      <c r="K29" s="101">
        <v>0</v>
      </c>
    </row>
    <row r="30" spans="1:11" x14ac:dyDescent="0.25">
      <c r="A30" s="266"/>
      <c r="B30" s="123"/>
      <c r="C30" s="210"/>
      <c r="D30" s="193">
        <v>1.35</v>
      </c>
      <c r="E30" s="194" t="s">
        <v>469</v>
      </c>
      <c r="F30" s="199">
        <f t="shared" si="0"/>
        <v>1.35</v>
      </c>
      <c r="G30" s="123"/>
      <c r="H30" s="123"/>
      <c r="I30" s="194" t="s">
        <v>469</v>
      </c>
      <c r="J30" s="193">
        <v>1.35</v>
      </c>
      <c r="K30" s="101">
        <v>0</v>
      </c>
    </row>
    <row r="31" spans="1:11" x14ac:dyDescent="0.25">
      <c r="A31" s="266"/>
      <c r="B31" s="123"/>
      <c r="C31" s="210"/>
      <c r="D31" s="193">
        <v>0.875</v>
      </c>
      <c r="E31" s="194" t="s">
        <v>470</v>
      </c>
      <c r="F31" s="199">
        <f t="shared" si="0"/>
        <v>0.875</v>
      </c>
      <c r="G31" s="123"/>
      <c r="H31" s="123"/>
      <c r="I31" s="194" t="s">
        <v>470</v>
      </c>
      <c r="J31" s="193">
        <v>0.875</v>
      </c>
      <c r="K31" s="101">
        <v>0</v>
      </c>
    </row>
    <row r="32" spans="1:11" ht="15.75" customHeight="1" x14ac:dyDescent="0.25">
      <c r="A32" s="266"/>
      <c r="B32" s="123"/>
      <c r="C32" s="210"/>
      <c r="D32" s="193">
        <v>0.28999999999999998</v>
      </c>
      <c r="E32" s="194" t="s">
        <v>145</v>
      </c>
      <c r="F32" s="199">
        <f t="shared" si="0"/>
        <v>0.28999999999999998</v>
      </c>
      <c r="G32" s="123"/>
      <c r="H32" s="123"/>
      <c r="I32" s="194" t="s">
        <v>145</v>
      </c>
      <c r="J32" s="193">
        <v>0.28999999999999998</v>
      </c>
      <c r="K32" s="101">
        <v>0</v>
      </c>
    </row>
    <row r="33" spans="1:11" ht="24" customHeight="1" x14ac:dyDescent="0.25">
      <c r="A33" s="266"/>
      <c r="B33" s="123"/>
      <c r="C33" s="210"/>
      <c r="D33" s="193">
        <v>0.57999999999999996</v>
      </c>
      <c r="E33" s="194" t="s">
        <v>472</v>
      </c>
      <c r="F33" s="199">
        <f t="shared" si="0"/>
        <v>0.57999999999999996</v>
      </c>
      <c r="G33" s="123"/>
      <c r="H33" s="123"/>
      <c r="I33" s="194" t="s">
        <v>472</v>
      </c>
      <c r="J33" s="193">
        <v>0.57999999999999996</v>
      </c>
      <c r="K33" s="101">
        <v>0</v>
      </c>
    </row>
    <row r="34" spans="1:11" ht="30" customHeight="1" x14ac:dyDescent="0.25">
      <c r="A34" s="266"/>
      <c r="B34" s="123"/>
      <c r="C34" s="210"/>
      <c r="D34" s="193">
        <v>1.385</v>
      </c>
      <c r="E34" s="194" t="s">
        <v>473</v>
      </c>
      <c r="F34" s="199">
        <f t="shared" si="0"/>
        <v>1.385</v>
      </c>
      <c r="G34" s="123"/>
      <c r="H34" s="123"/>
      <c r="I34" s="194" t="s">
        <v>471</v>
      </c>
      <c r="J34" s="193">
        <v>1.385</v>
      </c>
      <c r="K34" s="101">
        <v>0</v>
      </c>
    </row>
    <row r="35" spans="1:11" ht="33.75" customHeight="1" x14ac:dyDescent="0.25">
      <c r="A35" s="266"/>
      <c r="B35" s="123"/>
      <c r="C35" s="210"/>
      <c r="D35" s="193">
        <v>0.504</v>
      </c>
      <c r="E35" s="194" t="s">
        <v>475</v>
      </c>
      <c r="F35" s="199">
        <f t="shared" si="0"/>
        <v>0.504</v>
      </c>
      <c r="G35" s="123"/>
      <c r="H35" s="123"/>
      <c r="I35" s="194" t="s">
        <v>476</v>
      </c>
      <c r="J35" s="193">
        <v>0.504</v>
      </c>
      <c r="K35" s="101">
        <v>0</v>
      </c>
    </row>
    <row r="36" spans="1:11" ht="35.25" customHeight="1" x14ac:dyDescent="0.25">
      <c r="A36" s="266"/>
      <c r="B36" s="123"/>
      <c r="C36" s="210"/>
      <c r="D36" s="193">
        <v>1.17</v>
      </c>
      <c r="E36" s="194" t="s">
        <v>474</v>
      </c>
      <c r="F36" s="199">
        <f t="shared" si="0"/>
        <v>1.17</v>
      </c>
      <c r="G36" s="123"/>
      <c r="H36" s="123"/>
      <c r="I36" s="194" t="s">
        <v>474</v>
      </c>
      <c r="J36" s="193">
        <v>1.17</v>
      </c>
      <c r="K36" s="101">
        <v>0</v>
      </c>
    </row>
    <row r="37" spans="1:11" ht="20.25" customHeight="1" x14ac:dyDescent="0.25">
      <c r="A37" s="266"/>
      <c r="B37" s="123"/>
      <c r="C37" s="123"/>
      <c r="D37" s="100">
        <v>0.35599999999999998</v>
      </c>
      <c r="E37" s="194" t="s">
        <v>477</v>
      </c>
      <c r="F37" s="199">
        <f t="shared" si="0"/>
        <v>0.35599999999999998</v>
      </c>
      <c r="G37" s="123"/>
      <c r="H37" s="123"/>
      <c r="I37" s="194" t="s">
        <v>477</v>
      </c>
      <c r="J37" s="100">
        <v>0.35599999999999998</v>
      </c>
      <c r="K37" s="101">
        <v>0</v>
      </c>
    </row>
    <row r="38" spans="1:11" ht="27.75" customHeight="1" x14ac:dyDescent="0.25">
      <c r="A38" s="266"/>
      <c r="B38" s="123"/>
      <c r="C38" s="123"/>
      <c r="D38" s="100">
        <v>6.2E-2</v>
      </c>
      <c r="E38" s="194" t="s">
        <v>478</v>
      </c>
      <c r="F38" s="199">
        <f t="shared" si="0"/>
        <v>6.2E-2</v>
      </c>
      <c r="G38" s="123"/>
      <c r="H38" s="123"/>
      <c r="I38" s="194" t="s">
        <v>478</v>
      </c>
      <c r="J38" s="100">
        <v>6.2E-2</v>
      </c>
      <c r="K38" s="101">
        <v>0</v>
      </c>
    </row>
    <row r="39" spans="1:11" ht="18" customHeight="1" x14ac:dyDescent="0.25">
      <c r="A39" s="266"/>
      <c r="B39" s="123"/>
      <c r="C39" s="123"/>
      <c r="D39" s="100">
        <v>6.6840000000000002</v>
      </c>
      <c r="E39" s="194" t="s">
        <v>479</v>
      </c>
      <c r="F39" s="199">
        <f t="shared" si="0"/>
        <v>6.6840000000000002</v>
      </c>
      <c r="G39" s="123"/>
      <c r="H39" s="123"/>
      <c r="I39" s="194" t="s">
        <v>479</v>
      </c>
      <c r="J39" s="100">
        <v>6.6840000000000002</v>
      </c>
      <c r="K39" s="101">
        <v>0</v>
      </c>
    </row>
    <row r="40" spans="1:11" ht="93" customHeight="1" x14ac:dyDescent="0.25">
      <c r="A40" s="266"/>
      <c r="B40" s="123"/>
      <c r="C40" s="123"/>
      <c r="D40" s="100">
        <v>0.27500000000000002</v>
      </c>
      <c r="E40" s="194" t="s">
        <v>480</v>
      </c>
      <c r="F40" s="199">
        <f t="shared" si="0"/>
        <v>0.27500000000000002</v>
      </c>
      <c r="G40" s="123"/>
      <c r="H40" s="123"/>
      <c r="I40" s="194" t="s">
        <v>480</v>
      </c>
      <c r="J40" s="100">
        <v>0.27500000000000002</v>
      </c>
      <c r="K40" s="101">
        <v>0</v>
      </c>
    </row>
    <row r="41" spans="1:11" ht="93" customHeight="1" x14ac:dyDescent="0.25">
      <c r="A41" s="266"/>
      <c r="B41" s="123"/>
      <c r="C41" s="123"/>
      <c r="D41" s="100">
        <v>6.3E-2</v>
      </c>
      <c r="E41" s="194" t="s">
        <v>480</v>
      </c>
      <c r="F41" s="199">
        <f t="shared" si="0"/>
        <v>6.3E-2</v>
      </c>
      <c r="G41" s="123"/>
      <c r="H41" s="123"/>
      <c r="I41" s="194" t="s">
        <v>480</v>
      </c>
      <c r="J41" s="100">
        <v>6.3E-2</v>
      </c>
      <c r="K41" s="101">
        <v>0</v>
      </c>
    </row>
    <row r="42" spans="1:11" ht="21" customHeight="1" x14ac:dyDescent="0.25">
      <c r="A42" s="266"/>
      <c r="B42" s="123"/>
      <c r="C42" s="123"/>
      <c r="D42" s="100">
        <v>0.36499999999999999</v>
      </c>
      <c r="E42" s="194" t="s">
        <v>482</v>
      </c>
      <c r="F42" s="199">
        <f t="shared" si="0"/>
        <v>0.36499999999999999</v>
      </c>
      <c r="G42" s="123"/>
      <c r="H42" s="123"/>
      <c r="I42" s="194" t="s">
        <v>482</v>
      </c>
      <c r="J42" s="100">
        <v>0.36499999999999999</v>
      </c>
      <c r="K42" s="101">
        <v>0</v>
      </c>
    </row>
    <row r="43" spans="1:11" ht="16.5" customHeight="1" x14ac:dyDescent="0.25">
      <c r="A43" s="266"/>
      <c r="B43" s="123"/>
      <c r="C43" s="123"/>
      <c r="D43" s="100">
        <v>0.36499999999999999</v>
      </c>
      <c r="E43" s="194" t="s">
        <v>481</v>
      </c>
      <c r="F43" s="199">
        <f t="shared" si="0"/>
        <v>0.36499999999999999</v>
      </c>
      <c r="G43" s="123"/>
      <c r="H43" s="123"/>
      <c r="I43" s="194" t="s">
        <v>481</v>
      </c>
      <c r="J43" s="100">
        <v>0.36499999999999999</v>
      </c>
      <c r="K43" s="101">
        <v>0</v>
      </c>
    </row>
    <row r="44" spans="1:11" ht="18.75" customHeight="1" x14ac:dyDescent="0.25">
      <c r="A44" s="266"/>
      <c r="B44" s="123"/>
      <c r="C44" s="123"/>
      <c r="D44" s="100">
        <v>1.01</v>
      </c>
      <c r="E44" s="194" t="s">
        <v>41</v>
      </c>
      <c r="F44" s="199">
        <f t="shared" si="0"/>
        <v>1.01</v>
      </c>
      <c r="G44" s="123"/>
      <c r="H44" s="123"/>
      <c r="I44" s="194" t="s">
        <v>41</v>
      </c>
      <c r="J44" s="100">
        <v>1.01</v>
      </c>
      <c r="K44" s="101">
        <v>0</v>
      </c>
    </row>
    <row r="45" spans="1:11" ht="21.75" customHeight="1" x14ac:dyDescent="0.25">
      <c r="A45" s="266"/>
      <c r="B45" s="123"/>
      <c r="C45" s="123"/>
      <c r="D45" s="100">
        <v>0.73</v>
      </c>
      <c r="E45" s="194" t="s">
        <v>483</v>
      </c>
      <c r="F45" s="199">
        <f t="shared" si="0"/>
        <v>0.73</v>
      </c>
      <c r="G45" s="123"/>
      <c r="H45" s="123"/>
      <c r="I45" s="194" t="s">
        <v>483</v>
      </c>
      <c r="J45" s="100">
        <v>0.73</v>
      </c>
      <c r="K45" s="101">
        <v>0</v>
      </c>
    </row>
    <row r="46" spans="1:11" ht="42" customHeight="1" x14ac:dyDescent="0.25">
      <c r="A46" s="266"/>
      <c r="B46" s="123"/>
      <c r="C46" s="123"/>
      <c r="D46" s="100">
        <v>0.88</v>
      </c>
      <c r="E46" s="194" t="s">
        <v>484</v>
      </c>
      <c r="F46" s="199">
        <f t="shared" si="0"/>
        <v>0.88</v>
      </c>
      <c r="G46" s="123"/>
      <c r="H46" s="123"/>
      <c r="I46" s="194" t="s">
        <v>484</v>
      </c>
      <c r="J46" s="100">
        <v>0.88</v>
      </c>
      <c r="K46" s="101">
        <v>0</v>
      </c>
    </row>
    <row r="47" spans="1:11" ht="22.5" customHeight="1" x14ac:dyDescent="0.25">
      <c r="A47" s="266"/>
      <c r="B47" s="123"/>
      <c r="C47" s="123"/>
      <c r="D47" s="100">
        <v>0.154</v>
      </c>
      <c r="E47" s="194" t="s">
        <v>485</v>
      </c>
      <c r="F47" s="199">
        <f t="shared" si="0"/>
        <v>0.154</v>
      </c>
      <c r="G47" s="123"/>
      <c r="H47" s="123"/>
      <c r="I47" s="194" t="s">
        <v>485</v>
      </c>
      <c r="J47" s="100">
        <v>0.154</v>
      </c>
      <c r="K47" s="101">
        <v>0</v>
      </c>
    </row>
    <row r="48" spans="1:11" ht="27" customHeight="1" x14ac:dyDescent="0.25">
      <c r="A48" s="266"/>
      <c r="B48" s="123"/>
      <c r="C48" s="123"/>
      <c r="D48" s="100">
        <v>2.1749999999999998</v>
      </c>
      <c r="E48" s="194" t="s">
        <v>486</v>
      </c>
      <c r="F48" s="199">
        <f t="shared" si="0"/>
        <v>2.1749999999999998</v>
      </c>
      <c r="G48" s="123"/>
      <c r="H48" s="123"/>
      <c r="I48" s="194" t="s">
        <v>486</v>
      </c>
      <c r="J48" s="100">
        <v>2.1749999999999998</v>
      </c>
      <c r="K48" s="101">
        <v>0</v>
      </c>
    </row>
    <row r="49" spans="1:11" ht="43.5" customHeight="1" x14ac:dyDescent="0.25">
      <c r="A49" s="266"/>
      <c r="B49" s="123"/>
      <c r="C49" s="123"/>
      <c r="D49" s="100">
        <v>3.4950000000000001</v>
      </c>
      <c r="E49" s="194" t="s">
        <v>487</v>
      </c>
      <c r="F49" s="199">
        <f t="shared" si="0"/>
        <v>3.4950000000000001</v>
      </c>
      <c r="G49" s="123"/>
      <c r="H49" s="123"/>
      <c r="I49" s="194" t="s">
        <v>487</v>
      </c>
      <c r="J49" s="100">
        <v>3.4950000000000001</v>
      </c>
      <c r="K49" s="101">
        <v>0</v>
      </c>
    </row>
    <row r="50" spans="1:11" ht="15.75" customHeight="1" x14ac:dyDescent="0.25">
      <c r="A50" s="266"/>
      <c r="B50" s="123"/>
      <c r="C50" s="123"/>
      <c r="D50" s="100">
        <v>0.39</v>
      </c>
      <c r="E50" s="194" t="s">
        <v>488</v>
      </c>
      <c r="F50" s="199">
        <f t="shared" si="0"/>
        <v>0.39</v>
      </c>
      <c r="G50" s="123"/>
      <c r="H50" s="123"/>
      <c r="I50" s="194" t="s">
        <v>488</v>
      </c>
      <c r="J50" s="100">
        <v>0.39</v>
      </c>
      <c r="K50" s="101">
        <v>0</v>
      </c>
    </row>
    <row r="51" spans="1:11" ht="49.5" hidden="1" customHeight="1" x14ac:dyDescent="0.25">
      <c r="A51" s="266"/>
      <c r="B51" s="123"/>
      <c r="C51" s="123"/>
      <c r="D51" s="213"/>
      <c r="E51" s="194"/>
      <c r="F51" s="201"/>
      <c r="G51" s="123"/>
      <c r="H51" s="123"/>
      <c r="I51" s="194"/>
      <c r="J51" s="213"/>
      <c r="K51" s="101"/>
    </row>
    <row r="52" spans="1:11" ht="74.25" customHeight="1" x14ac:dyDescent="0.3">
      <c r="A52" s="266"/>
      <c r="B52" s="209" t="s">
        <v>47</v>
      </c>
      <c r="C52" s="123"/>
      <c r="D52" s="214">
        <v>0.23</v>
      </c>
      <c r="E52" s="194" t="s">
        <v>489</v>
      </c>
      <c r="F52" s="200">
        <v>0.23</v>
      </c>
      <c r="G52" s="123"/>
      <c r="H52" s="123"/>
      <c r="I52" s="194" t="s">
        <v>489</v>
      </c>
      <c r="J52" s="214">
        <v>0</v>
      </c>
      <c r="K52" s="101">
        <v>0.23</v>
      </c>
    </row>
    <row r="53" spans="1:11" ht="15" customHeight="1" x14ac:dyDescent="0.3">
      <c r="A53" s="266"/>
      <c r="B53" s="209"/>
      <c r="C53" s="123"/>
      <c r="D53" s="101">
        <v>0.25600000000000001</v>
      </c>
      <c r="E53" s="125" t="s">
        <v>51</v>
      </c>
      <c r="F53" s="199">
        <f t="shared" ref="F53:F71" si="1">D53</f>
        <v>0.25600000000000001</v>
      </c>
      <c r="G53" s="123"/>
      <c r="H53" s="215"/>
      <c r="I53" s="125" t="s">
        <v>51</v>
      </c>
      <c r="J53" s="101">
        <v>0.25600000000000001</v>
      </c>
      <c r="K53" s="101">
        <v>0</v>
      </c>
    </row>
    <row r="54" spans="1:11" ht="15" customHeight="1" x14ac:dyDescent="0.25">
      <c r="A54" s="266"/>
      <c r="B54" s="125"/>
      <c r="C54" s="123"/>
      <c r="D54" s="101">
        <v>0.217</v>
      </c>
      <c r="E54" s="125" t="s">
        <v>53</v>
      </c>
      <c r="F54" s="199">
        <f t="shared" si="1"/>
        <v>0.217</v>
      </c>
      <c r="G54" s="123"/>
      <c r="H54" s="215"/>
      <c r="I54" s="125" t="s">
        <v>53</v>
      </c>
      <c r="J54" s="101">
        <v>0.16800000000000001</v>
      </c>
      <c r="K54" s="101">
        <v>4.9000000000000002E-2</v>
      </c>
    </row>
    <row r="55" spans="1:11" ht="15" customHeight="1" x14ac:dyDescent="0.25">
      <c r="A55" s="266"/>
      <c r="B55" s="125"/>
      <c r="C55" s="123"/>
      <c r="D55" s="103">
        <v>0.08</v>
      </c>
      <c r="E55" s="125" t="s">
        <v>107</v>
      </c>
      <c r="F55" s="199">
        <f t="shared" si="1"/>
        <v>0.08</v>
      </c>
      <c r="G55" s="123"/>
      <c r="H55" s="215"/>
      <c r="I55" s="125" t="s">
        <v>107</v>
      </c>
      <c r="J55" s="103">
        <v>0</v>
      </c>
      <c r="K55" s="101">
        <v>0.08</v>
      </c>
    </row>
    <row r="56" spans="1:11" ht="15" customHeight="1" x14ac:dyDescent="0.25">
      <c r="A56" s="266"/>
      <c r="B56" s="125"/>
      <c r="C56" s="123"/>
      <c r="D56" s="103">
        <v>0.245</v>
      </c>
      <c r="E56" s="125" t="s">
        <v>55</v>
      </c>
      <c r="F56" s="199">
        <f t="shared" si="1"/>
        <v>0.245</v>
      </c>
      <c r="G56" s="123"/>
      <c r="H56" s="215"/>
      <c r="I56" s="125" t="s">
        <v>55</v>
      </c>
      <c r="J56" s="101">
        <v>0.245</v>
      </c>
      <c r="K56" s="101">
        <v>0</v>
      </c>
    </row>
    <row r="57" spans="1:11" ht="14.25" customHeight="1" x14ac:dyDescent="0.25">
      <c r="A57" s="266"/>
      <c r="B57" s="125"/>
      <c r="C57" s="123"/>
      <c r="D57" s="103">
        <v>0.33700000000000002</v>
      </c>
      <c r="E57" s="125" t="s">
        <v>490</v>
      </c>
      <c r="F57" s="199">
        <f t="shared" si="1"/>
        <v>0.33700000000000002</v>
      </c>
      <c r="G57" s="123"/>
      <c r="H57" s="215"/>
      <c r="I57" s="125" t="s">
        <v>56</v>
      </c>
      <c r="J57" s="101">
        <v>0.33700000000000002</v>
      </c>
      <c r="K57" s="101">
        <v>0</v>
      </c>
    </row>
    <row r="58" spans="1:11" ht="16.5" customHeight="1" x14ac:dyDescent="0.25">
      <c r="A58" s="266"/>
      <c r="B58" s="125"/>
      <c r="C58" s="123"/>
      <c r="D58" s="103">
        <v>0.96699999999999997</v>
      </c>
      <c r="E58" s="125" t="s">
        <v>56</v>
      </c>
      <c r="F58" s="199">
        <f t="shared" si="1"/>
        <v>0.96699999999999997</v>
      </c>
      <c r="G58" s="123"/>
      <c r="H58" s="215"/>
      <c r="I58" s="125" t="s">
        <v>56</v>
      </c>
      <c r="J58" s="101">
        <v>0.81</v>
      </c>
      <c r="K58" s="101">
        <v>0.157</v>
      </c>
    </row>
    <row r="59" spans="1:11" ht="30" x14ac:dyDescent="0.25">
      <c r="A59" s="266"/>
      <c r="B59" s="125"/>
      <c r="C59" s="123"/>
      <c r="D59" s="103">
        <v>0.67800000000000005</v>
      </c>
      <c r="E59" s="125" t="s">
        <v>491</v>
      </c>
      <c r="F59" s="199">
        <f t="shared" si="1"/>
        <v>0.67800000000000005</v>
      </c>
      <c r="G59" s="123"/>
      <c r="H59" s="215"/>
      <c r="I59" s="125" t="s">
        <v>491</v>
      </c>
      <c r="J59" s="101">
        <v>6.6000000000000003E-2</v>
      </c>
      <c r="K59" s="101">
        <v>0.61199999999999999</v>
      </c>
    </row>
    <row r="60" spans="1:11" ht="29.25" customHeight="1" x14ac:dyDescent="0.25">
      <c r="A60" s="266"/>
      <c r="B60" s="125"/>
      <c r="C60" s="123"/>
      <c r="D60" s="103">
        <v>0.76500000000000001</v>
      </c>
      <c r="E60" s="125" t="s">
        <v>492</v>
      </c>
      <c r="F60" s="199">
        <f t="shared" si="1"/>
        <v>0.76500000000000001</v>
      </c>
      <c r="G60" s="123"/>
      <c r="H60" s="215"/>
      <c r="I60" s="125" t="s">
        <v>108</v>
      </c>
      <c r="J60" s="101">
        <v>0.76500000000000001</v>
      </c>
      <c r="K60" s="101">
        <v>0</v>
      </c>
    </row>
    <row r="61" spans="1:11" ht="21" customHeight="1" x14ac:dyDescent="0.25">
      <c r="A61" s="266"/>
      <c r="B61" s="125"/>
      <c r="C61" s="123"/>
      <c r="D61" s="103">
        <v>1.145</v>
      </c>
      <c r="E61" s="125" t="s">
        <v>58</v>
      </c>
      <c r="F61" s="199">
        <f t="shared" si="1"/>
        <v>1.145</v>
      </c>
      <c r="G61" s="123"/>
      <c r="H61" s="215"/>
      <c r="I61" s="125" t="s">
        <v>58</v>
      </c>
      <c r="J61" s="101">
        <v>0.45800000000000002</v>
      </c>
      <c r="K61" s="103">
        <v>0.68700000000000006</v>
      </c>
    </row>
    <row r="62" spans="1:11" ht="13.5" customHeight="1" x14ac:dyDescent="0.25">
      <c r="A62" s="266"/>
      <c r="B62" s="125"/>
      <c r="C62" s="123"/>
      <c r="D62" s="103">
        <v>0.26300000000000001</v>
      </c>
      <c r="E62" s="125" t="s">
        <v>515</v>
      </c>
      <c r="F62" s="199">
        <f t="shared" si="1"/>
        <v>0.26300000000000001</v>
      </c>
      <c r="G62" s="123"/>
      <c r="H62" s="215"/>
      <c r="I62" s="125" t="s">
        <v>493</v>
      </c>
      <c r="J62" s="101">
        <v>0.18099999999999999</v>
      </c>
      <c r="K62" s="101">
        <v>8.2000000000000003E-2</v>
      </c>
    </row>
    <row r="63" spans="1:11" ht="29.25" customHeight="1" x14ac:dyDescent="0.25">
      <c r="A63" s="266"/>
      <c r="B63" s="125"/>
      <c r="C63" s="123"/>
      <c r="D63" s="103">
        <v>0.19500000000000001</v>
      </c>
      <c r="E63" s="125" t="s">
        <v>494</v>
      </c>
      <c r="F63" s="199">
        <f t="shared" si="1"/>
        <v>0.19500000000000001</v>
      </c>
      <c r="G63" s="123"/>
      <c r="H63" s="215"/>
      <c r="I63" s="125" t="s">
        <v>494</v>
      </c>
      <c r="J63" s="103">
        <v>0.14599999999999999</v>
      </c>
      <c r="K63" s="101">
        <v>4.9000000000000002E-2</v>
      </c>
    </row>
    <row r="64" spans="1:11" ht="16.5" customHeight="1" x14ac:dyDescent="0.25">
      <c r="A64" s="266"/>
      <c r="B64" s="125"/>
      <c r="C64" s="123"/>
      <c r="D64" s="103">
        <v>1.266</v>
      </c>
      <c r="E64" s="125" t="s">
        <v>495</v>
      </c>
      <c r="F64" s="199">
        <f t="shared" si="1"/>
        <v>1.266</v>
      </c>
      <c r="G64" s="123"/>
      <c r="H64" s="215"/>
      <c r="I64" s="125" t="s">
        <v>60</v>
      </c>
      <c r="J64" s="101">
        <v>1.266</v>
      </c>
      <c r="K64" s="101">
        <v>0</v>
      </c>
    </row>
    <row r="65" spans="1:11" ht="15.75" x14ac:dyDescent="0.25">
      <c r="A65" s="266"/>
      <c r="B65" s="125"/>
      <c r="C65" s="123"/>
      <c r="D65" s="103">
        <v>2.61</v>
      </c>
      <c r="E65" s="125" t="s">
        <v>160</v>
      </c>
      <c r="F65" s="199">
        <f t="shared" si="1"/>
        <v>2.61</v>
      </c>
      <c r="G65" s="123"/>
      <c r="H65" s="215"/>
      <c r="I65" s="125" t="s">
        <v>160</v>
      </c>
      <c r="J65" s="101">
        <v>0.69599999999999995</v>
      </c>
      <c r="K65" s="101">
        <v>1.9139999999999999</v>
      </c>
    </row>
    <row r="66" spans="1:11" ht="17.25" customHeight="1" x14ac:dyDescent="0.25">
      <c r="A66" s="266"/>
      <c r="B66" s="125"/>
      <c r="C66" s="123"/>
      <c r="D66" s="103">
        <v>0.128</v>
      </c>
      <c r="E66" s="125" t="s">
        <v>62</v>
      </c>
      <c r="F66" s="199">
        <f t="shared" si="1"/>
        <v>0.128</v>
      </c>
      <c r="G66" s="123"/>
      <c r="H66" s="215"/>
      <c r="I66" s="125" t="s">
        <v>62</v>
      </c>
      <c r="J66" s="103">
        <v>0.11600000000000001</v>
      </c>
      <c r="K66" s="101">
        <v>1.2E-2</v>
      </c>
    </row>
    <row r="67" spans="1:11" ht="18.75" customHeight="1" x14ac:dyDescent="0.25">
      <c r="A67" s="266"/>
      <c r="B67" s="125"/>
      <c r="C67" s="123"/>
      <c r="D67" s="103">
        <v>4.3730000000000002</v>
      </c>
      <c r="E67" s="125" t="s">
        <v>313</v>
      </c>
      <c r="F67" s="199">
        <f t="shared" si="1"/>
        <v>4.3730000000000002</v>
      </c>
      <c r="G67" s="123"/>
      <c r="H67" s="215"/>
      <c r="I67" s="125" t="s">
        <v>313</v>
      </c>
      <c r="J67" s="103">
        <v>2.9249999999999998</v>
      </c>
      <c r="K67" s="101">
        <v>1.448</v>
      </c>
    </row>
    <row r="68" spans="1:11" ht="19.5" customHeight="1" x14ac:dyDescent="0.25">
      <c r="A68" s="266"/>
      <c r="B68" s="125"/>
      <c r="C68" s="123"/>
      <c r="D68" s="103">
        <v>0.30099999999999999</v>
      </c>
      <c r="E68" s="125" t="s">
        <v>63</v>
      </c>
      <c r="F68" s="199">
        <f t="shared" si="1"/>
        <v>0.30099999999999999</v>
      </c>
      <c r="G68" s="123"/>
      <c r="H68" s="215"/>
      <c r="I68" s="125" t="s">
        <v>63</v>
      </c>
      <c r="J68" s="103">
        <v>0.30099999999999999</v>
      </c>
      <c r="K68" s="101">
        <v>0</v>
      </c>
    </row>
    <row r="69" spans="1:11" ht="29.25" customHeight="1" x14ac:dyDescent="0.25">
      <c r="A69" s="266"/>
      <c r="B69" s="125"/>
      <c r="C69" s="123"/>
      <c r="D69" s="103">
        <v>0.52200000000000002</v>
      </c>
      <c r="E69" s="125" t="s">
        <v>496</v>
      </c>
      <c r="F69" s="199">
        <f t="shared" si="1"/>
        <v>0.52200000000000002</v>
      </c>
      <c r="G69" s="123"/>
      <c r="H69" s="215"/>
      <c r="I69" s="125" t="s">
        <v>64</v>
      </c>
      <c r="J69" s="101">
        <v>0.24299999999999999</v>
      </c>
      <c r="K69" s="101">
        <v>0.27900000000000003</v>
      </c>
    </row>
    <row r="70" spans="1:11" ht="15.75" customHeight="1" x14ac:dyDescent="0.25">
      <c r="A70" s="266"/>
      <c r="B70" s="125"/>
      <c r="C70" s="123"/>
      <c r="D70" s="103">
        <v>0.10199999999999999</v>
      </c>
      <c r="E70" s="125" t="s">
        <v>497</v>
      </c>
      <c r="F70" s="199">
        <f t="shared" si="1"/>
        <v>0.10199999999999999</v>
      </c>
      <c r="G70" s="123"/>
      <c r="H70" s="215"/>
      <c r="I70" s="125" t="s">
        <v>497</v>
      </c>
      <c r="J70" s="101">
        <v>0.10199999999999999</v>
      </c>
      <c r="K70" s="101">
        <v>0</v>
      </c>
    </row>
    <row r="71" spans="1:11" ht="13.5" customHeight="1" x14ac:dyDescent="0.25">
      <c r="A71" s="266"/>
      <c r="B71" s="125"/>
      <c r="C71" s="123"/>
      <c r="D71" s="103">
        <v>0.46800000000000003</v>
      </c>
      <c r="E71" s="125" t="s">
        <v>498</v>
      </c>
      <c r="F71" s="199">
        <f t="shared" si="1"/>
        <v>0.46800000000000003</v>
      </c>
      <c r="G71" s="123"/>
      <c r="H71" s="215"/>
      <c r="I71" s="125" t="s">
        <v>498</v>
      </c>
      <c r="J71" s="101">
        <v>0.28100000000000003</v>
      </c>
      <c r="K71" s="101">
        <v>0.187</v>
      </c>
    </row>
    <row r="72" spans="1:11" ht="14.25" customHeight="1" x14ac:dyDescent="0.25">
      <c r="A72" s="266"/>
      <c r="B72" s="125"/>
      <c r="C72" s="123"/>
      <c r="D72" s="197">
        <v>1.0994999999999999</v>
      </c>
      <c r="E72" s="125" t="s">
        <v>499</v>
      </c>
      <c r="F72" s="199">
        <v>1.0994999999999999</v>
      </c>
      <c r="G72" s="123"/>
      <c r="H72" s="215"/>
      <c r="I72" s="125" t="s">
        <v>499</v>
      </c>
      <c r="J72" s="101">
        <v>1.1000000000000001</v>
      </c>
      <c r="K72" s="103">
        <v>0</v>
      </c>
    </row>
    <row r="73" spans="1:11" ht="16.5" customHeight="1" x14ac:dyDescent="0.25">
      <c r="A73" s="266"/>
      <c r="B73" s="125"/>
      <c r="C73" s="123"/>
      <c r="D73" s="197">
        <v>1.1000000000000001</v>
      </c>
      <c r="E73" s="125" t="s">
        <v>516</v>
      </c>
      <c r="F73" s="199">
        <v>1.1000000000000001</v>
      </c>
      <c r="G73" s="123"/>
      <c r="H73" s="215"/>
      <c r="I73" s="125" t="s">
        <v>499</v>
      </c>
      <c r="J73" s="101">
        <v>0.65239999999999998</v>
      </c>
      <c r="K73" s="103">
        <v>0.44713000000000003</v>
      </c>
    </row>
    <row r="74" spans="1:11" ht="16.5" customHeight="1" x14ac:dyDescent="0.25">
      <c r="A74" s="266"/>
      <c r="B74" s="125"/>
      <c r="C74" s="123"/>
      <c r="D74" s="103">
        <v>0.73299999999999998</v>
      </c>
      <c r="E74" s="125" t="s">
        <v>500</v>
      </c>
      <c r="F74" s="199">
        <f t="shared" ref="F74:F112" si="2">D74</f>
        <v>0.73299999999999998</v>
      </c>
      <c r="G74" s="123"/>
      <c r="H74" s="215"/>
      <c r="I74" s="125" t="s">
        <v>500</v>
      </c>
      <c r="J74" s="101">
        <v>0.44700000000000001</v>
      </c>
      <c r="K74" s="103">
        <v>0.28599999999999998</v>
      </c>
    </row>
    <row r="75" spans="1:11" ht="13.5" customHeight="1" x14ac:dyDescent="0.25">
      <c r="A75" s="266"/>
      <c r="B75" s="125"/>
      <c r="C75" s="123"/>
      <c r="D75" s="103">
        <v>2.1349999999999998</v>
      </c>
      <c r="E75" s="125" t="s">
        <v>218</v>
      </c>
      <c r="F75" s="199">
        <f t="shared" si="2"/>
        <v>2.1349999999999998</v>
      </c>
      <c r="G75" s="123"/>
      <c r="H75" s="215"/>
      <c r="I75" s="125" t="s">
        <v>218</v>
      </c>
      <c r="J75" s="101">
        <v>1.071</v>
      </c>
      <c r="K75" s="103">
        <v>1.0640000000000001</v>
      </c>
    </row>
    <row r="76" spans="1:11" ht="13.5" customHeight="1" x14ac:dyDescent="0.25">
      <c r="A76" s="266"/>
      <c r="B76" s="125"/>
      <c r="C76" s="123"/>
      <c r="D76" s="103">
        <v>0.14199999999999999</v>
      </c>
      <c r="E76" s="125" t="s">
        <v>501</v>
      </c>
      <c r="F76" s="199">
        <f t="shared" si="2"/>
        <v>0.14199999999999999</v>
      </c>
      <c r="G76" s="123"/>
      <c r="H76" s="215"/>
      <c r="I76" s="125" t="s">
        <v>501</v>
      </c>
      <c r="J76" s="103">
        <v>0.14199999999999999</v>
      </c>
      <c r="K76" s="103">
        <v>0</v>
      </c>
    </row>
    <row r="77" spans="1:11" ht="17.25" customHeight="1" x14ac:dyDescent="0.25">
      <c r="A77" s="266"/>
      <c r="B77" s="125"/>
      <c r="C77" s="123"/>
      <c r="D77" s="103">
        <v>0.89200000000000002</v>
      </c>
      <c r="E77" s="125" t="s">
        <v>324</v>
      </c>
      <c r="F77" s="199">
        <f t="shared" si="2"/>
        <v>0.89200000000000002</v>
      </c>
      <c r="G77" s="123"/>
      <c r="H77" s="215"/>
      <c r="I77" s="125" t="s">
        <v>324</v>
      </c>
      <c r="J77" s="101">
        <v>0.59399999999999997</v>
      </c>
      <c r="K77" s="101">
        <v>0.29799999999999999</v>
      </c>
    </row>
    <row r="78" spans="1:11" ht="16.5" customHeight="1" x14ac:dyDescent="0.25">
      <c r="A78" s="266"/>
      <c r="B78" s="125"/>
      <c r="C78" s="123"/>
      <c r="D78" s="103">
        <v>0.51100000000000001</v>
      </c>
      <c r="E78" s="125" t="s">
        <v>69</v>
      </c>
      <c r="F78" s="199">
        <f t="shared" si="2"/>
        <v>0.51100000000000001</v>
      </c>
      <c r="G78" s="123"/>
      <c r="H78" s="215"/>
      <c r="I78" s="125" t="s">
        <v>69</v>
      </c>
      <c r="J78" s="101">
        <v>0.46500000000000002</v>
      </c>
      <c r="K78" s="101">
        <v>4.5999999999999999E-2</v>
      </c>
    </row>
    <row r="79" spans="1:11" ht="12.75" customHeight="1" x14ac:dyDescent="0.25">
      <c r="A79" s="266"/>
      <c r="B79" s="125"/>
      <c r="C79" s="123"/>
      <c r="D79" s="103">
        <v>0.69599999999999995</v>
      </c>
      <c r="E79" s="125" t="s">
        <v>70</v>
      </c>
      <c r="F79" s="199">
        <f t="shared" si="2"/>
        <v>0.69599999999999995</v>
      </c>
      <c r="G79" s="123"/>
      <c r="H79" s="215"/>
      <c r="I79" s="125" t="s">
        <v>70</v>
      </c>
      <c r="J79" s="101">
        <v>0.69599999999999995</v>
      </c>
      <c r="K79" s="101">
        <v>0</v>
      </c>
    </row>
    <row r="80" spans="1:11" ht="14.25" customHeight="1" x14ac:dyDescent="0.25">
      <c r="A80" s="266"/>
      <c r="B80" s="125"/>
      <c r="C80" s="123"/>
      <c r="D80" s="103">
        <v>3.4020000000000001</v>
      </c>
      <c r="E80" s="125" t="s">
        <v>502</v>
      </c>
      <c r="F80" s="199">
        <f t="shared" si="2"/>
        <v>3.4020000000000001</v>
      </c>
      <c r="G80" s="123"/>
      <c r="H80" s="215"/>
      <c r="I80" s="125" t="s">
        <v>502</v>
      </c>
      <c r="J80" s="101">
        <v>2.5990000000000002</v>
      </c>
      <c r="K80" s="101">
        <v>0.80300000000000005</v>
      </c>
    </row>
    <row r="81" spans="1:11" ht="14.25" customHeight="1" x14ac:dyDescent="0.25">
      <c r="A81" s="266"/>
      <c r="B81" s="125"/>
      <c r="C81" s="123"/>
      <c r="D81" s="103">
        <v>9.9000000000000005E-2</v>
      </c>
      <c r="E81" s="125" t="s">
        <v>503</v>
      </c>
      <c r="F81" s="199">
        <f t="shared" si="2"/>
        <v>9.9000000000000005E-2</v>
      </c>
      <c r="G81" s="123"/>
      <c r="H81" s="215"/>
      <c r="I81" s="125" t="s">
        <v>503</v>
      </c>
      <c r="J81" s="101">
        <v>0</v>
      </c>
      <c r="K81" s="103">
        <v>9.9000000000000005E-2</v>
      </c>
    </row>
    <row r="82" spans="1:11" ht="12.75" customHeight="1" x14ac:dyDescent="0.25">
      <c r="A82" s="266"/>
      <c r="B82" s="125"/>
      <c r="C82" s="123"/>
      <c r="D82" s="101">
        <v>0.999</v>
      </c>
      <c r="E82" s="125" t="s">
        <v>73</v>
      </c>
      <c r="F82" s="199">
        <f t="shared" si="2"/>
        <v>0.999</v>
      </c>
      <c r="G82" s="123"/>
      <c r="H82" s="215"/>
      <c r="I82" s="125" t="s">
        <v>73</v>
      </c>
      <c r="J82" s="101">
        <v>0.999</v>
      </c>
      <c r="K82" s="101">
        <v>0</v>
      </c>
    </row>
    <row r="83" spans="1:11" ht="15" customHeight="1" x14ac:dyDescent="0.25">
      <c r="A83" s="266"/>
      <c r="B83" s="125"/>
      <c r="C83" s="123"/>
      <c r="D83" s="103">
        <v>0.28399999999999997</v>
      </c>
      <c r="E83" s="125" t="s">
        <v>75</v>
      </c>
      <c r="F83" s="199">
        <f t="shared" si="2"/>
        <v>0.28399999999999997</v>
      </c>
      <c r="G83" s="123"/>
      <c r="H83" s="215"/>
      <c r="I83" s="125" t="s">
        <v>75</v>
      </c>
      <c r="J83" s="101">
        <v>0</v>
      </c>
      <c r="K83" s="101">
        <v>0.28399999999999997</v>
      </c>
    </row>
    <row r="84" spans="1:11" ht="16.5" customHeight="1" x14ac:dyDescent="0.25">
      <c r="A84" s="266"/>
      <c r="B84" s="125"/>
      <c r="C84" s="123"/>
      <c r="D84" s="103">
        <v>1.706</v>
      </c>
      <c r="E84" s="125" t="s">
        <v>504</v>
      </c>
      <c r="F84" s="199">
        <f t="shared" si="2"/>
        <v>1.706</v>
      </c>
      <c r="G84" s="123"/>
      <c r="H84" s="215"/>
      <c r="I84" s="125" t="s">
        <v>504</v>
      </c>
      <c r="J84" s="101">
        <v>1.1120000000000001</v>
      </c>
      <c r="K84" s="101">
        <v>0.59399999999999997</v>
      </c>
    </row>
    <row r="85" spans="1:11" ht="29.25" customHeight="1" x14ac:dyDescent="0.25">
      <c r="A85" s="266"/>
      <c r="B85" s="125"/>
      <c r="C85" s="123"/>
      <c r="D85" s="103">
        <v>14.172000000000001</v>
      </c>
      <c r="E85" s="125" t="s">
        <v>505</v>
      </c>
      <c r="F85" s="199">
        <f t="shared" si="2"/>
        <v>14.172000000000001</v>
      </c>
      <c r="G85" s="123"/>
      <c r="H85" s="215"/>
      <c r="I85" s="125" t="s">
        <v>505</v>
      </c>
      <c r="J85" s="101">
        <v>12.260999999999999</v>
      </c>
      <c r="K85" s="101">
        <v>1.911</v>
      </c>
    </row>
    <row r="86" spans="1:11" ht="31.5" customHeight="1" x14ac:dyDescent="0.25">
      <c r="A86" s="266"/>
      <c r="B86" s="125"/>
      <c r="C86" s="123"/>
      <c r="D86" s="103">
        <v>0.58399999999999996</v>
      </c>
      <c r="E86" s="125" t="s">
        <v>506</v>
      </c>
      <c r="F86" s="199">
        <f t="shared" si="2"/>
        <v>0.58399999999999996</v>
      </c>
      <c r="G86" s="123"/>
      <c r="H86" s="215"/>
      <c r="I86" s="125" t="s">
        <v>506</v>
      </c>
      <c r="J86" s="103">
        <v>0.51100000000000001</v>
      </c>
      <c r="K86" s="101">
        <v>7.2999999999999995E-2</v>
      </c>
    </row>
    <row r="87" spans="1:11" ht="27" customHeight="1" x14ac:dyDescent="0.25">
      <c r="A87" s="266"/>
      <c r="B87" s="125"/>
      <c r="C87" s="123"/>
      <c r="D87" s="103">
        <v>0.13200000000000001</v>
      </c>
      <c r="E87" s="125" t="s">
        <v>507</v>
      </c>
      <c r="F87" s="199">
        <f t="shared" si="2"/>
        <v>0.13200000000000001</v>
      </c>
      <c r="G87" s="123"/>
      <c r="H87" s="215"/>
      <c r="I87" s="125" t="s">
        <v>507</v>
      </c>
      <c r="J87" s="103">
        <v>6.5000000000000002E-2</v>
      </c>
      <c r="K87" s="101">
        <v>6.7000000000000004E-2</v>
      </c>
    </row>
    <row r="88" spans="1:11" ht="30.75" customHeight="1" x14ac:dyDescent="0.25">
      <c r="A88" s="266"/>
      <c r="B88" s="125"/>
      <c r="C88" s="123"/>
      <c r="D88" s="103">
        <v>0.16200000000000001</v>
      </c>
      <c r="E88" s="125" t="s">
        <v>508</v>
      </c>
      <c r="F88" s="199">
        <f t="shared" si="2"/>
        <v>0.16200000000000001</v>
      </c>
      <c r="G88" s="123"/>
      <c r="H88" s="215"/>
      <c r="I88" s="125" t="s">
        <v>508</v>
      </c>
      <c r="J88" s="101">
        <v>6.5000000000000002E-2</v>
      </c>
      <c r="K88" s="101">
        <v>9.7000000000000003E-2</v>
      </c>
    </row>
    <row r="89" spans="1:11" ht="30.75" customHeight="1" x14ac:dyDescent="0.25">
      <c r="A89" s="266"/>
      <c r="B89" s="125"/>
      <c r="C89" s="123"/>
      <c r="D89" s="103">
        <v>0.32</v>
      </c>
      <c r="E89" s="125" t="s">
        <v>509</v>
      </c>
      <c r="F89" s="199">
        <f t="shared" si="2"/>
        <v>0.32</v>
      </c>
      <c r="G89" s="123"/>
      <c r="H89" s="215"/>
      <c r="I89" s="125" t="s">
        <v>509</v>
      </c>
      <c r="J89" s="101">
        <v>0.115</v>
      </c>
      <c r="K89" s="103">
        <v>0.20499999999999999</v>
      </c>
    </row>
    <row r="90" spans="1:11" ht="17.25" customHeight="1" x14ac:dyDescent="0.25">
      <c r="A90" s="266"/>
      <c r="B90" s="125"/>
      <c r="C90" s="123"/>
      <c r="D90" s="103">
        <v>11.385999999999999</v>
      </c>
      <c r="E90" s="125" t="s">
        <v>87</v>
      </c>
      <c r="F90" s="199">
        <f t="shared" si="2"/>
        <v>11.385999999999999</v>
      </c>
      <c r="G90" s="123"/>
      <c r="H90" s="215"/>
      <c r="I90" s="125" t="s">
        <v>87</v>
      </c>
      <c r="J90" s="101">
        <v>3.048</v>
      </c>
      <c r="K90" s="101">
        <v>8.3379999999999992</v>
      </c>
    </row>
    <row r="91" spans="1:11" ht="16.5" customHeight="1" x14ac:dyDescent="0.25">
      <c r="A91" s="266"/>
      <c r="B91" s="125"/>
      <c r="C91" s="123"/>
      <c r="D91" s="103">
        <v>8.6010000000000009</v>
      </c>
      <c r="E91" s="125" t="s">
        <v>89</v>
      </c>
      <c r="F91" s="199">
        <f t="shared" si="2"/>
        <v>8.6010000000000009</v>
      </c>
      <c r="G91" s="123"/>
      <c r="H91" s="215"/>
      <c r="I91" s="125" t="s">
        <v>89</v>
      </c>
      <c r="J91" s="101">
        <v>7.2990000000000004</v>
      </c>
      <c r="K91" s="101">
        <v>1.302</v>
      </c>
    </row>
    <row r="92" spans="1:11" ht="18.75" customHeight="1" x14ac:dyDescent="0.25">
      <c r="A92" s="266"/>
      <c r="B92" s="125"/>
      <c r="C92" s="123"/>
      <c r="D92" s="103">
        <f>3.371+0.006</f>
        <v>3.3769999999999998</v>
      </c>
      <c r="E92" s="125" t="s">
        <v>123</v>
      </c>
      <c r="F92" s="199">
        <f t="shared" si="2"/>
        <v>3.3769999999999998</v>
      </c>
      <c r="G92" s="123"/>
      <c r="H92" s="215"/>
      <c r="I92" s="125" t="s">
        <v>123</v>
      </c>
      <c r="J92" s="103">
        <f>3.371+0.006</f>
        <v>3.3769999999999998</v>
      </c>
      <c r="K92" s="101">
        <v>0</v>
      </c>
    </row>
    <row r="93" spans="1:11" ht="15.75" x14ac:dyDescent="0.25">
      <c r="A93" s="266"/>
      <c r="B93" s="125"/>
      <c r="C93" s="123"/>
      <c r="D93" s="103">
        <v>7.0490000000000004</v>
      </c>
      <c r="E93" s="125" t="s">
        <v>124</v>
      </c>
      <c r="F93" s="199">
        <f t="shared" si="2"/>
        <v>7.0490000000000004</v>
      </c>
      <c r="G93" s="123"/>
      <c r="H93" s="215"/>
      <c r="I93" s="125" t="s">
        <v>124</v>
      </c>
      <c r="J93" s="101">
        <v>7.0490000000000004</v>
      </c>
      <c r="K93" s="101">
        <v>0</v>
      </c>
    </row>
    <row r="94" spans="1:11" ht="13.5" customHeight="1" x14ac:dyDescent="0.25">
      <c r="A94" s="266"/>
      <c r="B94" s="125"/>
      <c r="C94" s="123"/>
      <c r="D94" s="103">
        <v>3.371</v>
      </c>
      <c r="E94" s="125" t="s">
        <v>125</v>
      </c>
      <c r="F94" s="199">
        <f t="shared" si="2"/>
        <v>3.371</v>
      </c>
      <c r="G94" s="123"/>
      <c r="H94" s="215"/>
      <c r="I94" s="125" t="s">
        <v>125</v>
      </c>
      <c r="J94" s="101">
        <v>2.452</v>
      </c>
      <c r="K94" s="101">
        <v>0.91900000000000004</v>
      </c>
    </row>
    <row r="95" spans="1:11" ht="15.75" customHeight="1" x14ac:dyDescent="0.25">
      <c r="A95" s="266"/>
      <c r="B95" s="125"/>
      <c r="C95" s="123"/>
      <c r="D95" s="103">
        <v>3.371</v>
      </c>
      <c r="E95" s="125" t="s">
        <v>125</v>
      </c>
      <c r="F95" s="199">
        <f t="shared" si="2"/>
        <v>3.371</v>
      </c>
      <c r="G95" s="123"/>
      <c r="H95" s="215"/>
      <c r="I95" s="125" t="s">
        <v>125</v>
      </c>
      <c r="J95" s="101">
        <v>3.371</v>
      </c>
      <c r="K95" s="101">
        <v>0</v>
      </c>
    </row>
    <row r="96" spans="1:11" ht="15" customHeight="1" x14ac:dyDescent="0.25">
      <c r="A96" s="266"/>
      <c r="B96" s="125"/>
      <c r="C96" s="123"/>
      <c r="D96" s="103">
        <v>5.5170000000000003</v>
      </c>
      <c r="E96" s="125" t="s">
        <v>510</v>
      </c>
      <c r="F96" s="199">
        <f t="shared" si="2"/>
        <v>5.5170000000000003</v>
      </c>
      <c r="G96" s="123"/>
      <c r="H96" s="215"/>
      <c r="I96" s="125" t="s">
        <v>510</v>
      </c>
      <c r="J96" s="101">
        <v>5.5170000000000003</v>
      </c>
      <c r="K96" s="101">
        <v>0</v>
      </c>
    </row>
    <row r="97" spans="1:11" ht="13.5" customHeight="1" x14ac:dyDescent="0.25">
      <c r="A97" s="266"/>
      <c r="B97" s="125"/>
      <c r="C97" s="123"/>
      <c r="D97" s="103">
        <v>2.145</v>
      </c>
      <c r="E97" s="125" t="s">
        <v>126</v>
      </c>
      <c r="F97" s="199">
        <f t="shared" si="2"/>
        <v>2.145</v>
      </c>
      <c r="G97" s="123"/>
      <c r="H97" s="215"/>
      <c r="I97" s="125" t="s">
        <v>126</v>
      </c>
      <c r="J97" s="103">
        <v>2.145</v>
      </c>
      <c r="K97" s="101">
        <v>0</v>
      </c>
    </row>
    <row r="98" spans="1:11" ht="32.25" customHeight="1" x14ac:dyDescent="0.25">
      <c r="A98" s="266"/>
      <c r="B98" s="125"/>
      <c r="C98" s="123"/>
      <c r="D98" s="103">
        <v>0.91600000000000004</v>
      </c>
      <c r="E98" s="125" t="s">
        <v>189</v>
      </c>
      <c r="F98" s="199">
        <f t="shared" si="2"/>
        <v>0.91600000000000004</v>
      </c>
      <c r="G98" s="123"/>
      <c r="H98" s="215"/>
      <c r="I98" s="125" t="s">
        <v>189</v>
      </c>
      <c r="J98" s="103">
        <v>0</v>
      </c>
      <c r="K98" s="101">
        <v>0.91600000000000004</v>
      </c>
    </row>
    <row r="99" spans="1:11" ht="31.5" customHeight="1" x14ac:dyDescent="0.25">
      <c r="A99" s="266"/>
      <c r="B99" s="125"/>
      <c r="C99" s="123"/>
      <c r="D99" s="103">
        <v>0.192</v>
      </c>
      <c r="E99" s="125" t="s">
        <v>511</v>
      </c>
      <c r="F99" s="199">
        <f t="shared" si="2"/>
        <v>0.192</v>
      </c>
      <c r="G99" s="123"/>
      <c r="H99" s="215"/>
      <c r="I99" s="125" t="s">
        <v>511</v>
      </c>
      <c r="J99" s="101">
        <v>0.192</v>
      </c>
      <c r="K99" s="101">
        <v>0</v>
      </c>
    </row>
    <row r="100" spans="1:11" ht="15" customHeight="1" x14ac:dyDescent="0.25">
      <c r="A100" s="266"/>
      <c r="B100" s="125"/>
      <c r="C100" s="123"/>
      <c r="D100" s="103">
        <v>4.952</v>
      </c>
      <c r="E100" s="125" t="s">
        <v>338</v>
      </c>
      <c r="F100" s="199">
        <f t="shared" si="2"/>
        <v>4.952</v>
      </c>
      <c r="G100" s="123"/>
      <c r="H100" s="215"/>
      <c r="I100" s="125" t="s">
        <v>338</v>
      </c>
      <c r="J100" s="101">
        <v>2.8719999999999999</v>
      </c>
      <c r="K100" s="101">
        <v>2.08</v>
      </c>
    </row>
    <row r="101" spans="1:11" ht="15" customHeight="1" x14ac:dyDescent="0.25">
      <c r="A101" s="266"/>
      <c r="B101" s="125"/>
      <c r="C101" s="123"/>
      <c r="D101" s="103">
        <v>1.615</v>
      </c>
      <c r="E101" s="125" t="s">
        <v>94</v>
      </c>
      <c r="F101" s="199">
        <f t="shared" si="2"/>
        <v>1.615</v>
      </c>
      <c r="G101" s="123"/>
      <c r="H101" s="215"/>
      <c r="I101" s="125" t="s">
        <v>94</v>
      </c>
      <c r="J101" s="101">
        <v>1.01</v>
      </c>
      <c r="K101" s="101">
        <v>0.60499999999999998</v>
      </c>
    </row>
    <row r="102" spans="1:11" ht="32.25" customHeight="1" x14ac:dyDescent="0.25">
      <c r="A102" s="266"/>
      <c r="B102" s="125"/>
      <c r="C102" s="123"/>
      <c r="D102" s="103">
        <v>0.63</v>
      </c>
      <c r="E102" s="125" t="s">
        <v>512</v>
      </c>
      <c r="F102" s="199">
        <f t="shared" si="2"/>
        <v>0.63</v>
      </c>
      <c r="G102" s="123"/>
      <c r="H102" s="215"/>
      <c r="I102" s="125" t="s">
        <v>512</v>
      </c>
      <c r="J102" s="101">
        <v>0</v>
      </c>
      <c r="K102" s="101">
        <v>0.63</v>
      </c>
    </row>
    <row r="103" spans="1:11" ht="13.5" customHeight="1" x14ac:dyDescent="0.25">
      <c r="A103" s="266"/>
      <c r="B103" s="125"/>
      <c r="C103" s="123"/>
      <c r="D103" s="103">
        <v>2.8</v>
      </c>
      <c r="E103" s="125" t="s">
        <v>96</v>
      </c>
      <c r="F103" s="199">
        <f t="shared" si="2"/>
        <v>2.8</v>
      </c>
      <c r="G103" s="123"/>
      <c r="H103" s="215"/>
      <c r="I103" s="125" t="s">
        <v>96</v>
      </c>
      <c r="J103" s="101">
        <v>2.52</v>
      </c>
      <c r="K103" s="101">
        <v>0.28000000000000003</v>
      </c>
    </row>
    <row r="104" spans="1:11" ht="12.75" customHeight="1" x14ac:dyDescent="0.25">
      <c r="A104" s="266"/>
      <c r="B104" s="125"/>
      <c r="C104" s="123"/>
      <c r="D104" s="103">
        <v>0.126</v>
      </c>
      <c r="E104" s="125" t="s">
        <v>97</v>
      </c>
      <c r="F104" s="199">
        <f t="shared" si="2"/>
        <v>0.126</v>
      </c>
      <c r="G104" s="123"/>
      <c r="H104" s="215"/>
      <c r="I104" s="125" t="s">
        <v>97</v>
      </c>
      <c r="J104" s="101">
        <v>2.9000000000000001E-2</v>
      </c>
      <c r="K104" s="101">
        <v>9.7000000000000003E-2</v>
      </c>
    </row>
    <row r="105" spans="1:11" ht="15" customHeight="1" x14ac:dyDescent="0.25">
      <c r="A105" s="266"/>
      <c r="B105" s="125"/>
      <c r="C105" s="123"/>
      <c r="D105" s="103">
        <v>2.5499999999999998</v>
      </c>
      <c r="E105" s="125" t="s">
        <v>195</v>
      </c>
      <c r="F105" s="199">
        <f t="shared" si="2"/>
        <v>2.5499999999999998</v>
      </c>
      <c r="G105" s="123"/>
      <c r="H105" s="215"/>
      <c r="I105" s="125" t="s">
        <v>100</v>
      </c>
      <c r="J105" s="101">
        <v>1.9379999999999999</v>
      </c>
      <c r="K105" s="101">
        <v>0.61199999999999999</v>
      </c>
    </row>
    <row r="106" spans="1:11" ht="31.5" customHeight="1" x14ac:dyDescent="0.25">
      <c r="A106" s="266"/>
      <c r="B106" s="125"/>
      <c r="C106" s="123"/>
      <c r="D106" s="103">
        <v>1.145</v>
      </c>
      <c r="E106" s="125" t="s">
        <v>513</v>
      </c>
      <c r="F106" s="199">
        <f t="shared" si="2"/>
        <v>1.145</v>
      </c>
      <c r="G106" s="123"/>
      <c r="H106" s="215"/>
      <c r="I106" s="125" t="s">
        <v>513</v>
      </c>
      <c r="J106" s="103">
        <v>0</v>
      </c>
      <c r="K106" s="231">
        <v>1.145</v>
      </c>
    </row>
    <row r="107" spans="1:11" ht="12.75" customHeight="1" x14ac:dyDescent="0.25">
      <c r="A107" s="266"/>
      <c r="B107" s="125"/>
      <c r="C107" s="123"/>
      <c r="D107" s="103">
        <v>1.2390000000000001</v>
      </c>
      <c r="E107" s="125" t="s">
        <v>101</v>
      </c>
      <c r="F107" s="199">
        <f t="shared" si="2"/>
        <v>1.2390000000000001</v>
      </c>
      <c r="G107" s="123"/>
      <c r="H107" s="215"/>
      <c r="I107" s="125" t="s">
        <v>101</v>
      </c>
      <c r="J107" s="101">
        <v>1.2390000000000001</v>
      </c>
      <c r="K107" s="228">
        <v>0</v>
      </c>
    </row>
    <row r="108" spans="1:11" ht="14.25" customHeight="1" x14ac:dyDescent="0.25">
      <c r="A108" s="266"/>
      <c r="B108" s="125"/>
      <c r="C108" s="123"/>
      <c r="D108" s="103">
        <v>4.3159999999999998</v>
      </c>
      <c r="E108" s="125" t="s">
        <v>105</v>
      </c>
      <c r="F108" s="199">
        <f t="shared" si="2"/>
        <v>4.3159999999999998</v>
      </c>
      <c r="G108" s="123"/>
      <c r="H108" s="215"/>
      <c r="I108" s="125" t="s">
        <v>105</v>
      </c>
      <c r="J108" s="101">
        <v>4.3159999999999998</v>
      </c>
      <c r="K108" s="228">
        <v>0</v>
      </c>
    </row>
    <row r="109" spans="1:11" ht="13.5" customHeight="1" x14ac:dyDescent="0.25">
      <c r="A109" s="266"/>
      <c r="B109" s="125"/>
      <c r="C109" s="123"/>
      <c r="D109" s="103">
        <v>1.4039999999999999</v>
      </c>
      <c r="E109" s="125" t="s">
        <v>104</v>
      </c>
      <c r="F109" s="199">
        <f t="shared" si="2"/>
        <v>1.4039999999999999</v>
      </c>
      <c r="G109" s="123"/>
      <c r="H109" s="215"/>
      <c r="I109" s="125" t="s">
        <v>104</v>
      </c>
      <c r="J109" s="101">
        <v>1.4039999999999999</v>
      </c>
      <c r="K109" s="228">
        <v>0</v>
      </c>
    </row>
    <row r="110" spans="1:11" ht="15.75" x14ac:dyDescent="0.25">
      <c r="A110" s="266"/>
      <c r="B110" s="125"/>
      <c r="C110" s="123"/>
      <c r="D110" s="103">
        <v>2.9889999999999999</v>
      </c>
      <c r="E110" s="125" t="s">
        <v>102</v>
      </c>
      <c r="F110" s="199">
        <f t="shared" si="2"/>
        <v>2.9889999999999999</v>
      </c>
      <c r="G110" s="123"/>
      <c r="H110" s="215"/>
      <c r="I110" s="125" t="s">
        <v>102</v>
      </c>
      <c r="J110" s="101">
        <v>2.9889999999999999</v>
      </c>
      <c r="K110" s="228">
        <v>0</v>
      </c>
    </row>
    <row r="111" spans="1:11" ht="15.75" x14ac:dyDescent="0.25">
      <c r="A111" s="266"/>
      <c r="B111" s="125"/>
      <c r="C111" s="123"/>
      <c r="D111" s="103">
        <v>1.3440000000000001</v>
      </c>
      <c r="E111" s="125" t="s">
        <v>106</v>
      </c>
      <c r="F111" s="199">
        <f t="shared" si="2"/>
        <v>1.3440000000000001</v>
      </c>
      <c r="G111" s="123"/>
      <c r="H111" s="215"/>
      <c r="I111" s="125" t="s">
        <v>103</v>
      </c>
      <c r="J111" s="101">
        <v>1.3440000000000001</v>
      </c>
      <c r="K111" s="228">
        <v>0</v>
      </c>
    </row>
    <row r="112" spans="1:11" ht="15.75" x14ac:dyDescent="0.25">
      <c r="A112" s="266"/>
      <c r="B112" s="125"/>
      <c r="C112" s="123"/>
      <c r="D112" s="103">
        <v>1.35</v>
      </c>
      <c r="E112" s="125" t="s">
        <v>103</v>
      </c>
      <c r="F112" s="199">
        <f t="shared" si="2"/>
        <v>1.35</v>
      </c>
      <c r="G112" s="123"/>
      <c r="H112" s="215"/>
      <c r="I112" s="125" t="s">
        <v>106</v>
      </c>
      <c r="J112" s="101">
        <v>1.35</v>
      </c>
      <c r="K112" s="228">
        <v>0</v>
      </c>
    </row>
    <row r="113" spans="1:11" ht="15" hidden="1" customHeight="1" x14ac:dyDescent="0.25">
      <c r="A113" s="266"/>
      <c r="B113" s="216"/>
      <c r="C113" s="216"/>
      <c r="D113" s="230"/>
      <c r="E113" s="216"/>
      <c r="F113" s="202"/>
      <c r="G113" s="216"/>
      <c r="H113" s="216"/>
      <c r="I113" s="216"/>
      <c r="J113" s="230"/>
      <c r="K113" s="232"/>
    </row>
    <row r="114" spans="1:11" ht="15" customHeight="1" x14ac:dyDescent="0.25">
      <c r="A114" s="266"/>
      <c r="B114" s="218" t="s">
        <v>640</v>
      </c>
      <c r="C114" s="123"/>
      <c r="D114" s="101"/>
      <c r="E114" s="217"/>
      <c r="F114" s="199"/>
      <c r="G114" s="123"/>
      <c r="H114" s="215"/>
      <c r="I114" s="125"/>
      <c r="J114" s="101"/>
      <c r="K114" s="228"/>
    </row>
    <row r="115" spans="1:11" ht="78.75" customHeight="1" x14ac:dyDescent="0.3">
      <c r="A115" s="266"/>
      <c r="B115" s="209" t="s">
        <v>47</v>
      </c>
      <c r="C115" s="123"/>
      <c r="D115" s="236">
        <v>4.8000000000000001E-2</v>
      </c>
      <c r="E115" s="237" t="s">
        <v>557</v>
      </c>
      <c r="F115" s="199">
        <f t="shared" ref="F115:F146" si="3">D115</f>
        <v>4.8000000000000001E-2</v>
      </c>
      <c r="G115" s="123"/>
      <c r="H115" s="238"/>
      <c r="I115" s="237" t="s">
        <v>558</v>
      </c>
      <c r="J115" s="236">
        <v>3.9E-2</v>
      </c>
      <c r="K115" s="238">
        <f t="shared" ref="K115:K124" si="4">SUM(F115)-J115</f>
        <v>9.0000000000000011E-3</v>
      </c>
    </row>
    <row r="116" spans="1:11" ht="44.25" customHeight="1" x14ac:dyDescent="0.25">
      <c r="A116" s="266"/>
      <c r="B116" s="125"/>
      <c r="C116" s="123"/>
      <c r="D116" s="236">
        <v>0.115</v>
      </c>
      <c r="E116" s="237" t="s">
        <v>557</v>
      </c>
      <c r="F116" s="199">
        <f t="shared" si="3"/>
        <v>0.115</v>
      </c>
      <c r="G116" s="123"/>
      <c r="H116" s="238"/>
      <c r="I116" s="237" t="s">
        <v>561</v>
      </c>
      <c r="J116" s="236">
        <v>8.5999999999999993E-2</v>
      </c>
      <c r="K116" s="238">
        <f t="shared" si="4"/>
        <v>2.9000000000000012E-2</v>
      </c>
    </row>
    <row r="117" spans="1:11" ht="44.25" customHeight="1" x14ac:dyDescent="0.25">
      <c r="A117" s="266"/>
      <c r="B117" s="125"/>
      <c r="C117" s="123"/>
      <c r="D117" s="236">
        <v>7.2999999999999995E-2</v>
      </c>
      <c r="E117" s="237" t="s">
        <v>559</v>
      </c>
      <c r="F117" s="199">
        <f t="shared" si="3"/>
        <v>7.2999999999999995E-2</v>
      </c>
      <c r="G117" s="123"/>
      <c r="H117" s="238"/>
      <c r="I117" s="237" t="s">
        <v>559</v>
      </c>
      <c r="J117" s="236">
        <v>3.15E-2</v>
      </c>
      <c r="K117" s="238">
        <f t="shared" si="4"/>
        <v>4.1499999999999995E-2</v>
      </c>
    </row>
    <row r="118" spans="1:11" ht="48" customHeight="1" x14ac:dyDescent="0.25">
      <c r="A118" s="266"/>
      <c r="B118" s="125"/>
      <c r="C118" s="123"/>
      <c r="D118" s="236">
        <v>0.28799999999999998</v>
      </c>
      <c r="E118" s="237" t="s">
        <v>562</v>
      </c>
      <c r="F118" s="199">
        <f t="shared" si="3"/>
        <v>0.28799999999999998</v>
      </c>
      <c r="G118" s="123"/>
      <c r="H118" s="238"/>
      <c r="I118" s="237" t="s">
        <v>562</v>
      </c>
      <c r="J118" s="236">
        <v>0.08</v>
      </c>
      <c r="K118" s="238">
        <f t="shared" si="4"/>
        <v>0.20799999999999996</v>
      </c>
    </row>
    <row r="119" spans="1:11" ht="29.25" customHeight="1" x14ac:dyDescent="0.25">
      <c r="A119" s="266"/>
      <c r="B119" s="125"/>
      <c r="C119" s="123"/>
      <c r="D119" s="236">
        <v>0.3</v>
      </c>
      <c r="E119" s="237" t="s">
        <v>563</v>
      </c>
      <c r="F119" s="199">
        <f t="shared" si="3"/>
        <v>0.3</v>
      </c>
      <c r="G119" s="123"/>
      <c r="H119" s="238"/>
      <c r="I119" s="237" t="s">
        <v>567</v>
      </c>
      <c r="J119" s="236">
        <v>0.12</v>
      </c>
      <c r="K119" s="238">
        <f t="shared" si="4"/>
        <v>0.18</v>
      </c>
    </row>
    <row r="120" spans="1:11" ht="28.5" customHeight="1" x14ac:dyDescent="0.25">
      <c r="A120" s="266"/>
      <c r="B120" s="125"/>
      <c r="C120" s="123"/>
      <c r="D120" s="236">
        <v>0.15</v>
      </c>
      <c r="E120" s="237" t="s">
        <v>564</v>
      </c>
      <c r="F120" s="199">
        <f t="shared" si="3"/>
        <v>0.15</v>
      </c>
      <c r="G120" s="123"/>
      <c r="H120" s="238"/>
      <c r="I120" s="237" t="s">
        <v>564</v>
      </c>
      <c r="J120" s="236">
        <v>0.13500000000000001</v>
      </c>
      <c r="K120" s="238">
        <f t="shared" si="4"/>
        <v>1.4999999999999986E-2</v>
      </c>
    </row>
    <row r="121" spans="1:11" ht="31.5" customHeight="1" x14ac:dyDescent="0.25">
      <c r="A121" s="266"/>
      <c r="B121" s="125"/>
      <c r="C121" s="123"/>
      <c r="D121" s="236">
        <v>8.8999999999999996E-2</v>
      </c>
      <c r="E121" s="237" t="s">
        <v>565</v>
      </c>
      <c r="F121" s="199">
        <f t="shared" si="3"/>
        <v>8.8999999999999996E-2</v>
      </c>
      <c r="G121" s="123"/>
      <c r="H121" s="238"/>
      <c r="I121" s="237" t="s">
        <v>566</v>
      </c>
      <c r="J121" s="236">
        <v>4.7E-2</v>
      </c>
      <c r="K121" s="238">
        <f t="shared" si="4"/>
        <v>4.1999999999999996E-2</v>
      </c>
    </row>
    <row r="122" spans="1:11" ht="31.5" customHeight="1" x14ac:dyDescent="0.25">
      <c r="A122" s="266"/>
      <c r="B122" s="125"/>
      <c r="C122" s="123"/>
      <c r="D122" s="236">
        <v>0.14799999999999999</v>
      </c>
      <c r="E122" s="237" t="s">
        <v>568</v>
      </c>
      <c r="F122" s="199">
        <f t="shared" si="3"/>
        <v>0.14799999999999999</v>
      </c>
      <c r="G122" s="123"/>
      <c r="H122" s="238"/>
      <c r="I122" s="237" t="s">
        <v>568</v>
      </c>
      <c r="J122" s="236">
        <v>6.5699999999999995E-2</v>
      </c>
      <c r="K122" s="238">
        <f t="shared" si="4"/>
        <v>8.2299999999999998E-2</v>
      </c>
    </row>
    <row r="123" spans="1:11" ht="30" customHeight="1" x14ac:dyDescent="0.25">
      <c r="A123" s="266"/>
      <c r="B123" s="125"/>
      <c r="C123" s="123"/>
      <c r="D123" s="236">
        <v>0.47699999999999998</v>
      </c>
      <c r="E123" s="237" t="s">
        <v>569</v>
      </c>
      <c r="F123" s="199">
        <f t="shared" si="3"/>
        <v>0.47699999999999998</v>
      </c>
      <c r="G123" s="123"/>
      <c r="H123" s="238"/>
      <c r="I123" s="237" t="s">
        <v>570</v>
      </c>
      <c r="J123" s="236">
        <v>0.3352</v>
      </c>
      <c r="K123" s="238">
        <f t="shared" si="4"/>
        <v>0.14179999999999998</v>
      </c>
    </row>
    <row r="124" spans="1:11" ht="30" customHeight="1" x14ac:dyDescent="0.25">
      <c r="A124" s="266"/>
      <c r="B124" s="125"/>
      <c r="C124" s="123"/>
      <c r="D124" s="236">
        <v>0.23899999999999999</v>
      </c>
      <c r="E124" s="237" t="s">
        <v>571</v>
      </c>
      <c r="F124" s="199">
        <f t="shared" si="3"/>
        <v>0.23899999999999999</v>
      </c>
      <c r="G124" s="123"/>
      <c r="H124" s="238"/>
      <c r="I124" s="237" t="s">
        <v>571</v>
      </c>
      <c r="J124" s="236">
        <v>0.1197</v>
      </c>
      <c r="K124" s="238">
        <f t="shared" si="4"/>
        <v>0.11929999999999999</v>
      </c>
    </row>
    <row r="125" spans="1:11" ht="47.25" customHeight="1" x14ac:dyDescent="0.25">
      <c r="A125" s="266"/>
      <c r="B125" s="125"/>
      <c r="C125" s="123"/>
      <c r="D125" s="236">
        <v>0.24</v>
      </c>
      <c r="E125" s="237" t="s">
        <v>572</v>
      </c>
      <c r="F125" s="199">
        <f t="shared" si="3"/>
        <v>0.24</v>
      </c>
      <c r="G125" s="123"/>
      <c r="H125" s="238"/>
      <c r="I125" s="237" t="s">
        <v>572</v>
      </c>
      <c r="J125" s="236">
        <v>0.24</v>
      </c>
      <c r="K125" s="239">
        <v>0</v>
      </c>
    </row>
    <row r="126" spans="1:11" ht="40.5" customHeight="1" x14ac:dyDescent="0.25">
      <c r="A126" s="266"/>
      <c r="B126" s="125"/>
      <c r="C126" s="123"/>
      <c r="D126" s="236">
        <v>0.20699999999999999</v>
      </c>
      <c r="E126" s="237" t="s">
        <v>573</v>
      </c>
      <c r="F126" s="199">
        <f t="shared" si="3"/>
        <v>0.20699999999999999</v>
      </c>
      <c r="G126" s="123"/>
      <c r="H126" s="238"/>
      <c r="I126" s="237" t="s">
        <v>574</v>
      </c>
      <c r="J126" s="236">
        <v>0</v>
      </c>
      <c r="K126" s="238">
        <f>SUM(F126)-J126</f>
        <v>0.20699999999999999</v>
      </c>
    </row>
    <row r="127" spans="1:11" ht="42" customHeight="1" x14ac:dyDescent="0.25">
      <c r="A127" s="266"/>
      <c r="B127" s="125"/>
      <c r="C127" s="123"/>
      <c r="D127" s="236">
        <v>8.6999999999999994E-2</v>
      </c>
      <c r="E127" s="237" t="s">
        <v>546</v>
      </c>
      <c r="F127" s="199">
        <f t="shared" si="3"/>
        <v>8.6999999999999994E-2</v>
      </c>
      <c r="G127" s="123"/>
      <c r="H127" s="238"/>
      <c r="I127" s="237" t="s">
        <v>547</v>
      </c>
      <c r="J127" s="236">
        <v>3.4000000000000002E-2</v>
      </c>
      <c r="K127" s="238">
        <f>SUM(F127)-J127</f>
        <v>5.2999999999999992E-2</v>
      </c>
    </row>
    <row r="128" spans="1:11" ht="42.75" customHeight="1" x14ac:dyDescent="0.25">
      <c r="A128" s="266"/>
      <c r="B128" s="125"/>
      <c r="C128" s="123"/>
      <c r="D128" s="236">
        <v>0.10299999999999999</v>
      </c>
      <c r="E128" s="237" t="s">
        <v>548</v>
      </c>
      <c r="F128" s="199">
        <f t="shared" si="3"/>
        <v>0.10299999999999999</v>
      </c>
      <c r="G128" s="123"/>
      <c r="H128" s="238"/>
      <c r="I128" s="237" t="s">
        <v>548</v>
      </c>
      <c r="J128" s="236">
        <v>0.10299999999999999</v>
      </c>
      <c r="K128" s="239">
        <v>0</v>
      </c>
    </row>
    <row r="129" spans="1:11" ht="40.5" customHeight="1" x14ac:dyDescent="0.25">
      <c r="A129" s="266"/>
      <c r="B129" s="125"/>
      <c r="C129" s="123"/>
      <c r="D129" s="236">
        <v>0.11409999999999999</v>
      </c>
      <c r="E129" s="237" t="s">
        <v>548</v>
      </c>
      <c r="F129" s="199">
        <f t="shared" si="3"/>
        <v>0.11409999999999999</v>
      </c>
      <c r="G129" s="123"/>
      <c r="H129" s="238"/>
      <c r="I129" s="237" t="s">
        <v>548</v>
      </c>
      <c r="J129" s="236">
        <v>4.9000000000000002E-2</v>
      </c>
      <c r="K129" s="238">
        <f t="shared" ref="K129:K134" si="5">SUM(F129)-J129</f>
        <v>6.5099999999999991E-2</v>
      </c>
    </row>
    <row r="130" spans="1:11" ht="43.5" customHeight="1" x14ac:dyDescent="0.25">
      <c r="A130" s="266"/>
      <c r="B130" s="125"/>
      <c r="C130" s="123"/>
      <c r="D130" s="236">
        <v>0.2661</v>
      </c>
      <c r="E130" s="237" t="s">
        <v>549</v>
      </c>
      <c r="F130" s="199">
        <f t="shared" si="3"/>
        <v>0.2661</v>
      </c>
      <c r="G130" s="123"/>
      <c r="H130" s="238"/>
      <c r="I130" s="237" t="s">
        <v>550</v>
      </c>
      <c r="J130" s="236">
        <v>0.216</v>
      </c>
      <c r="K130" s="238">
        <f t="shared" si="5"/>
        <v>5.0100000000000006E-2</v>
      </c>
    </row>
    <row r="131" spans="1:11" ht="42" customHeight="1" x14ac:dyDescent="0.25">
      <c r="A131" s="266"/>
      <c r="B131" s="125"/>
      <c r="C131" s="123"/>
      <c r="D131" s="236">
        <v>0.106</v>
      </c>
      <c r="E131" s="237" t="s">
        <v>550</v>
      </c>
      <c r="F131" s="199">
        <f t="shared" si="3"/>
        <v>0.106</v>
      </c>
      <c r="G131" s="123"/>
      <c r="H131" s="238"/>
      <c r="I131" s="237" t="s">
        <v>550</v>
      </c>
      <c r="J131" s="236">
        <v>6.8000000000000005E-2</v>
      </c>
      <c r="K131" s="238">
        <f t="shared" si="5"/>
        <v>3.7999999999999992E-2</v>
      </c>
    </row>
    <row r="132" spans="1:11" ht="45.75" customHeight="1" x14ac:dyDescent="0.25">
      <c r="A132" s="266"/>
      <c r="B132" s="125"/>
      <c r="C132" s="123"/>
      <c r="D132" s="236">
        <v>0.56940000000000002</v>
      </c>
      <c r="E132" s="237" t="s">
        <v>551</v>
      </c>
      <c r="F132" s="199">
        <f t="shared" si="3"/>
        <v>0.56940000000000002</v>
      </c>
      <c r="G132" s="123"/>
      <c r="H132" s="238"/>
      <c r="I132" s="237" t="s">
        <v>552</v>
      </c>
      <c r="J132" s="236">
        <v>0.26200000000000001</v>
      </c>
      <c r="K132" s="238">
        <f t="shared" si="5"/>
        <v>0.30740000000000001</v>
      </c>
    </row>
    <row r="133" spans="1:11" ht="46.5" customHeight="1" x14ac:dyDescent="0.25">
      <c r="A133" s="266"/>
      <c r="B133" s="125"/>
      <c r="C133" s="123"/>
      <c r="D133" s="236">
        <v>0.56940000000000002</v>
      </c>
      <c r="E133" s="237" t="s">
        <v>553</v>
      </c>
      <c r="F133" s="199">
        <f t="shared" si="3"/>
        <v>0.56940000000000002</v>
      </c>
      <c r="G133" s="123"/>
      <c r="H133" s="238"/>
      <c r="I133" s="237" t="s">
        <v>554</v>
      </c>
      <c r="J133" s="236">
        <v>0.28470000000000001</v>
      </c>
      <c r="K133" s="238">
        <f t="shared" si="5"/>
        <v>0.28470000000000001</v>
      </c>
    </row>
    <row r="134" spans="1:11" ht="15" customHeight="1" x14ac:dyDescent="0.25">
      <c r="A134" s="266"/>
      <c r="B134" s="125"/>
      <c r="C134" s="123"/>
      <c r="D134" s="236">
        <v>1.1200000000000001</v>
      </c>
      <c r="E134" s="237" t="s">
        <v>575</v>
      </c>
      <c r="F134" s="199">
        <f t="shared" si="3"/>
        <v>1.1200000000000001</v>
      </c>
      <c r="G134" s="123"/>
      <c r="H134" s="238"/>
      <c r="I134" s="237" t="s">
        <v>575</v>
      </c>
      <c r="J134" s="236">
        <v>0.58150000000000002</v>
      </c>
      <c r="K134" s="238">
        <f t="shared" si="5"/>
        <v>0.53850000000000009</v>
      </c>
    </row>
    <row r="135" spans="1:11" ht="15" customHeight="1" x14ac:dyDescent="0.25">
      <c r="A135" s="266"/>
      <c r="B135" s="125"/>
      <c r="C135" s="123"/>
      <c r="D135" s="236">
        <v>2.153</v>
      </c>
      <c r="E135" s="237" t="s">
        <v>576</v>
      </c>
      <c r="F135" s="199">
        <f t="shared" si="3"/>
        <v>2.153</v>
      </c>
      <c r="G135" s="123"/>
      <c r="H135" s="238"/>
      <c r="I135" s="237" t="s">
        <v>517</v>
      </c>
      <c r="J135" s="236">
        <v>2.153</v>
      </c>
      <c r="K135" s="239">
        <v>0</v>
      </c>
    </row>
    <row r="136" spans="1:11" ht="27" customHeight="1" x14ac:dyDescent="0.25">
      <c r="A136" s="266"/>
      <c r="B136" s="125"/>
      <c r="C136" s="123"/>
      <c r="D136" s="236">
        <v>2.153</v>
      </c>
      <c r="E136" s="237" t="s">
        <v>518</v>
      </c>
      <c r="F136" s="199">
        <f t="shared" si="3"/>
        <v>2.153</v>
      </c>
      <c r="G136" s="123"/>
      <c r="H136" s="238"/>
      <c r="I136" s="237" t="s">
        <v>577</v>
      </c>
      <c r="J136" s="236">
        <v>0.43</v>
      </c>
      <c r="K136" s="238">
        <f t="shared" ref="K136:K167" si="6">SUM(F136)-J136</f>
        <v>1.7230000000000001</v>
      </c>
    </row>
    <row r="137" spans="1:11" ht="15" customHeight="1" x14ac:dyDescent="0.25">
      <c r="A137" s="266"/>
      <c r="B137" s="125"/>
      <c r="C137" s="123"/>
      <c r="D137" s="236">
        <v>0.49859999999999999</v>
      </c>
      <c r="E137" s="237" t="s">
        <v>578</v>
      </c>
      <c r="F137" s="199">
        <f t="shared" si="3"/>
        <v>0.49859999999999999</v>
      </c>
      <c r="G137" s="123"/>
      <c r="H137" s="238"/>
      <c r="I137" s="237" t="s">
        <v>579</v>
      </c>
      <c r="J137" s="236">
        <v>0.4088</v>
      </c>
      <c r="K137" s="238">
        <f t="shared" si="6"/>
        <v>8.9799999999999991E-2</v>
      </c>
    </row>
    <row r="138" spans="1:11" ht="15" customHeight="1" x14ac:dyDescent="0.25">
      <c r="A138" s="266"/>
      <c r="B138" s="125"/>
      <c r="C138" s="123"/>
      <c r="D138" s="236">
        <v>0.17449999999999999</v>
      </c>
      <c r="E138" s="237" t="s">
        <v>580</v>
      </c>
      <c r="F138" s="199">
        <f t="shared" si="3"/>
        <v>0.17449999999999999</v>
      </c>
      <c r="G138" s="123"/>
      <c r="H138" s="238"/>
      <c r="I138" s="237" t="s">
        <v>581</v>
      </c>
      <c r="J138" s="240">
        <v>0</v>
      </c>
      <c r="K138" s="238">
        <f t="shared" si="6"/>
        <v>0.17449999999999999</v>
      </c>
    </row>
    <row r="139" spans="1:11" ht="27" customHeight="1" x14ac:dyDescent="0.25">
      <c r="A139" s="266"/>
      <c r="B139" s="125"/>
      <c r="C139" s="123"/>
      <c r="D139" s="236">
        <v>3.5700000000000003E-2</v>
      </c>
      <c r="E139" s="237" t="s">
        <v>555</v>
      </c>
      <c r="F139" s="199">
        <f t="shared" si="3"/>
        <v>3.5700000000000003E-2</v>
      </c>
      <c r="G139" s="123"/>
      <c r="H139" s="238"/>
      <c r="I139" s="237" t="s">
        <v>556</v>
      </c>
      <c r="J139" s="240">
        <v>0</v>
      </c>
      <c r="K139" s="238">
        <f t="shared" si="6"/>
        <v>3.5700000000000003E-2</v>
      </c>
    </row>
    <row r="140" spans="1:11" ht="15" customHeight="1" x14ac:dyDescent="0.25">
      <c r="A140" s="266"/>
      <c r="B140" s="125"/>
      <c r="C140" s="123"/>
      <c r="D140" s="236">
        <v>3.5999999999999997E-2</v>
      </c>
      <c r="E140" s="237" t="s">
        <v>582</v>
      </c>
      <c r="F140" s="199">
        <f t="shared" si="3"/>
        <v>3.5999999999999997E-2</v>
      </c>
      <c r="G140" s="123"/>
      <c r="H140" s="238"/>
      <c r="I140" s="237" t="s">
        <v>583</v>
      </c>
      <c r="J140" s="240">
        <v>0</v>
      </c>
      <c r="K140" s="238">
        <f t="shared" si="6"/>
        <v>3.5999999999999997E-2</v>
      </c>
    </row>
    <row r="141" spans="1:11" ht="48" customHeight="1" x14ac:dyDescent="0.25">
      <c r="A141" s="266"/>
      <c r="B141" s="125"/>
      <c r="C141" s="123"/>
      <c r="D141" s="236">
        <v>7.6600000000000001E-2</v>
      </c>
      <c r="E141" s="237" t="s">
        <v>584</v>
      </c>
      <c r="F141" s="199">
        <f t="shared" si="3"/>
        <v>7.6600000000000001E-2</v>
      </c>
      <c r="G141" s="123"/>
      <c r="H141" s="238"/>
      <c r="I141" s="237" t="s">
        <v>584</v>
      </c>
      <c r="J141" s="240">
        <v>0</v>
      </c>
      <c r="K141" s="238">
        <f t="shared" si="6"/>
        <v>7.6600000000000001E-2</v>
      </c>
    </row>
    <row r="142" spans="1:11" ht="18" customHeight="1" x14ac:dyDescent="0.25">
      <c r="A142" s="266"/>
      <c r="B142" s="125"/>
      <c r="C142" s="123"/>
      <c r="D142" s="236">
        <v>0.1827</v>
      </c>
      <c r="E142" s="241" t="s">
        <v>585</v>
      </c>
      <c r="F142" s="199">
        <f t="shared" si="3"/>
        <v>0.1827</v>
      </c>
      <c r="G142" s="123"/>
      <c r="H142" s="238"/>
      <c r="I142" s="241" t="s">
        <v>586</v>
      </c>
      <c r="J142" s="240">
        <v>0</v>
      </c>
      <c r="K142" s="238">
        <f t="shared" si="6"/>
        <v>0.1827</v>
      </c>
    </row>
    <row r="143" spans="1:11" ht="15" customHeight="1" x14ac:dyDescent="0.25">
      <c r="A143" s="266"/>
      <c r="B143" s="125"/>
      <c r="C143" s="123"/>
      <c r="D143" s="236">
        <v>0.15509999999999999</v>
      </c>
      <c r="E143" s="237" t="s">
        <v>587</v>
      </c>
      <c r="F143" s="199">
        <f t="shared" si="3"/>
        <v>0.15509999999999999</v>
      </c>
      <c r="G143" s="123"/>
      <c r="H143" s="238"/>
      <c r="I143" s="237" t="s">
        <v>587</v>
      </c>
      <c r="J143" s="240">
        <v>0</v>
      </c>
      <c r="K143" s="238">
        <f t="shared" si="6"/>
        <v>0.15509999999999999</v>
      </c>
    </row>
    <row r="144" spans="1:11" ht="15" customHeight="1" x14ac:dyDescent="0.25">
      <c r="A144" s="266"/>
      <c r="B144" s="125"/>
      <c r="C144" s="123"/>
      <c r="D144" s="236">
        <v>6.7000000000000004E-2</v>
      </c>
      <c r="E144" s="237" t="s">
        <v>588</v>
      </c>
      <c r="F144" s="199">
        <f t="shared" si="3"/>
        <v>6.7000000000000004E-2</v>
      </c>
      <c r="G144" s="123"/>
      <c r="H144" s="238"/>
      <c r="I144" s="237" t="s">
        <v>588</v>
      </c>
      <c r="J144" s="236">
        <v>6.7000000000000004E-2</v>
      </c>
      <c r="K144" s="239">
        <f t="shared" si="6"/>
        <v>0</v>
      </c>
    </row>
    <row r="145" spans="1:11" ht="15" customHeight="1" x14ac:dyDescent="0.25">
      <c r="A145" s="266"/>
      <c r="B145" s="125"/>
      <c r="C145" s="123"/>
      <c r="D145" s="236">
        <v>2.5999999999999999E-2</v>
      </c>
      <c r="E145" s="237" t="s">
        <v>589</v>
      </c>
      <c r="F145" s="199">
        <f t="shared" si="3"/>
        <v>2.5999999999999999E-2</v>
      </c>
      <c r="G145" s="123"/>
      <c r="H145" s="238"/>
      <c r="I145" s="237" t="s">
        <v>590</v>
      </c>
      <c r="J145" s="240">
        <v>0</v>
      </c>
      <c r="K145" s="238">
        <f t="shared" si="6"/>
        <v>2.5999999999999999E-2</v>
      </c>
    </row>
    <row r="146" spans="1:11" ht="15" customHeight="1" x14ac:dyDescent="0.25">
      <c r="A146" s="266"/>
      <c r="B146" s="125"/>
      <c r="C146" s="123"/>
      <c r="D146" s="236">
        <v>1.4590000000000001</v>
      </c>
      <c r="E146" s="237" t="s">
        <v>591</v>
      </c>
      <c r="F146" s="199">
        <f t="shared" si="3"/>
        <v>1.4590000000000001</v>
      </c>
      <c r="G146" s="123"/>
      <c r="H146" s="238"/>
      <c r="I146" s="237" t="s">
        <v>519</v>
      </c>
      <c r="J146" s="236">
        <v>0.69320000000000004</v>
      </c>
      <c r="K146" s="238">
        <f t="shared" si="6"/>
        <v>0.76580000000000004</v>
      </c>
    </row>
    <row r="147" spans="1:11" ht="15" customHeight="1" x14ac:dyDescent="0.25">
      <c r="A147" s="266"/>
      <c r="B147" s="125"/>
      <c r="C147" s="123"/>
      <c r="D147" s="236">
        <v>0.51</v>
      </c>
      <c r="E147" s="237" t="s">
        <v>592</v>
      </c>
      <c r="F147" s="199">
        <f t="shared" ref="F147:F178" si="7">D147</f>
        <v>0.51</v>
      </c>
      <c r="G147" s="123"/>
      <c r="H147" s="238"/>
      <c r="I147" s="237" t="s">
        <v>592</v>
      </c>
      <c r="J147" s="236">
        <v>0.51</v>
      </c>
      <c r="K147" s="239">
        <f t="shared" si="6"/>
        <v>0</v>
      </c>
    </row>
    <row r="148" spans="1:11" ht="15" customHeight="1" x14ac:dyDescent="0.25">
      <c r="A148" s="266"/>
      <c r="B148" s="125"/>
      <c r="C148" s="123"/>
      <c r="D148" s="236">
        <v>0.60099999999999998</v>
      </c>
      <c r="E148" s="237" t="s">
        <v>593</v>
      </c>
      <c r="F148" s="199">
        <f t="shared" si="7"/>
        <v>0.60099999999999998</v>
      </c>
      <c r="G148" s="123"/>
      <c r="H148" s="238"/>
      <c r="I148" s="237" t="s">
        <v>593</v>
      </c>
      <c r="J148" s="236">
        <v>0.60099999999999998</v>
      </c>
      <c r="K148" s="239">
        <f t="shared" si="6"/>
        <v>0</v>
      </c>
    </row>
    <row r="149" spans="1:11" ht="15" customHeight="1" x14ac:dyDescent="0.25">
      <c r="A149" s="266"/>
      <c r="B149" s="125"/>
      <c r="C149" s="123"/>
      <c r="D149" s="236">
        <v>1.0592999999999999</v>
      </c>
      <c r="E149" s="237" t="s">
        <v>594</v>
      </c>
      <c r="F149" s="199">
        <f t="shared" si="7"/>
        <v>1.0592999999999999</v>
      </c>
      <c r="G149" s="123"/>
      <c r="H149" s="238"/>
      <c r="I149" s="237" t="s">
        <v>595</v>
      </c>
      <c r="J149" s="236">
        <v>0.5403</v>
      </c>
      <c r="K149" s="238">
        <f t="shared" si="6"/>
        <v>0.51899999999999991</v>
      </c>
    </row>
    <row r="150" spans="1:11" ht="15" customHeight="1" x14ac:dyDescent="0.25">
      <c r="A150" s="266"/>
      <c r="B150" s="125"/>
      <c r="C150" s="123"/>
      <c r="D150" s="236">
        <v>0.42299999999999999</v>
      </c>
      <c r="E150" s="237" t="s">
        <v>597</v>
      </c>
      <c r="F150" s="199">
        <f t="shared" si="7"/>
        <v>0.42299999999999999</v>
      </c>
      <c r="G150" s="123"/>
      <c r="H150" s="238"/>
      <c r="I150" s="237" t="s">
        <v>596</v>
      </c>
      <c r="J150" s="236">
        <v>0.26400000000000001</v>
      </c>
      <c r="K150" s="238">
        <f t="shared" si="6"/>
        <v>0.15899999999999997</v>
      </c>
    </row>
    <row r="151" spans="1:11" ht="15" customHeight="1" x14ac:dyDescent="0.25">
      <c r="A151" s="266"/>
      <c r="B151" s="125"/>
      <c r="C151" s="123"/>
      <c r="D151" s="236">
        <v>0.17299999999999999</v>
      </c>
      <c r="E151" s="237" t="s">
        <v>598</v>
      </c>
      <c r="F151" s="199">
        <f t="shared" si="7"/>
        <v>0.17299999999999999</v>
      </c>
      <c r="G151" s="123"/>
      <c r="H151" s="238"/>
      <c r="I151" s="237" t="s">
        <v>599</v>
      </c>
      <c r="J151" s="236">
        <v>0.17299999999999999</v>
      </c>
      <c r="K151" s="239">
        <f t="shared" si="6"/>
        <v>0</v>
      </c>
    </row>
    <row r="152" spans="1:11" ht="15" customHeight="1" x14ac:dyDescent="0.25">
      <c r="A152" s="266"/>
      <c r="B152" s="125"/>
      <c r="C152" s="123"/>
      <c r="D152" s="236">
        <v>1.5879000000000001</v>
      </c>
      <c r="E152" s="237" t="s">
        <v>600</v>
      </c>
      <c r="F152" s="199">
        <f t="shared" si="7"/>
        <v>1.5879000000000001</v>
      </c>
      <c r="G152" s="123"/>
      <c r="H152" s="238"/>
      <c r="I152" s="237" t="s">
        <v>601</v>
      </c>
      <c r="J152" s="236">
        <v>1.4291</v>
      </c>
      <c r="K152" s="238">
        <f t="shared" si="6"/>
        <v>0.15880000000000005</v>
      </c>
    </row>
    <row r="153" spans="1:11" ht="15" customHeight="1" x14ac:dyDescent="0.25">
      <c r="A153" s="266"/>
      <c r="B153" s="125"/>
      <c r="C153" s="123"/>
      <c r="D153" s="236">
        <v>1.5935999999999999</v>
      </c>
      <c r="E153" s="237" t="s">
        <v>601</v>
      </c>
      <c r="F153" s="199">
        <f t="shared" si="7"/>
        <v>1.5935999999999999</v>
      </c>
      <c r="G153" s="123"/>
      <c r="H153" s="238"/>
      <c r="I153" s="237" t="s">
        <v>602</v>
      </c>
      <c r="J153" s="236">
        <v>0.47810000000000002</v>
      </c>
      <c r="K153" s="238">
        <f t="shared" si="6"/>
        <v>1.1154999999999999</v>
      </c>
    </row>
    <row r="154" spans="1:11" ht="15" customHeight="1" x14ac:dyDescent="0.25">
      <c r="A154" s="266"/>
      <c r="B154" s="125"/>
      <c r="C154" s="123"/>
      <c r="D154" s="236">
        <v>1.64</v>
      </c>
      <c r="E154" s="237" t="s">
        <v>603</v>
      </c>
      <c r="F154" s="199">
        <f t="shared" si="7"/>
        <v>1.64</v>
      </c>
      <c r="G154" s="123"/>
      <c r="H154" s="238"/>
      <c r="I154" s="237" t="s">
        <v>604</v>
      </c>
      <c r="J154" s="236">
        <v>1.3120000000000001</v>
      </c>
      <c r="K154" s="238">
        <f t="shared" si="6"/>
        <v>0.32799999999999985</v>
      </c>
    </row>
    <row r="155" spans="1:11" ht="15" customHeight="1" x14ac:dyDescent="0.25">
      <c r="A155" s="266"/>
      <c r="B155" s="125"/>
      <c r="C155" s="123"/>
      <c r="D155" s="236">
        <v>0.2041</v>
      </c>
      <c r="E155" s="237" t="s">
        <v>605</v>
      </c>
      <c r="F155" s="199">
        <f t="shared" si="7"/>
        <v>0.2041</v>
      </c>
      <c r="G155" s="123"/>
      <c r="H155" s="238"/>
      <c r="I155" s="237" t="s">
        <v>606</v>
      </c>
      <c r="J155" s="236">
        <v>7.1400000000000005E-2</v>
      </c>
      <c r="K155" s="238">
        <f t="shared" si="6"/>
        <v>0.13269999999999998</v>
      </c>
    </row>
    <row r="156" spans="1:11" ht="15" customHeight="1" x14ac:dyDescent="0.25">
      <c r="A156" s="266"/>
      <c r="B156" s="125"/>
      <c r="C156" s="123"/>
      <c r="D156" s="236">
        <v>0.55420000000000003</v>
      </c>
      <c r="E156" s="237" t="s">
        <v>607</v>
      </c>
      <c r="F156" s="199">
        <f t="shared" si="7"/>
        <v>0.55420000000000003</v>
      </c>
      <c r="G156" s="123"/>
      <c r="H156" s="238"/>
      <c r="I156" s="237" t="s">
        <v>608</v>
      </c>
      <c r="J156" s="240">
        <v>0</v>
      </c>
      <c r="K156" s="238">
        <f t="shared" si="6"/>
        <v>0.55420000000000003</v>
      </c>
    </row>
    <row r="157" spans="1:11" ht="15" customHeight="1" x14ac:dyDescent="0.25">
      <c r="A157" s="266"/>
      <c r="B157" s="125"/>
      <c r="C157" s="123"/>
      <c r="D157" s="236">
        <v>0.79400000000000004</v>
      </c>
      <c r="E157" s="237" t="s">
        <v>609</v>
      </c>
      <c r="F157" s="199">
        <f t="shared" si="7"/>
        <v>0.79400000000000004</v>
      </c>
      <c r="G157" s="123"/>
      <c r="H157" s="238"/>
      <c r="I157" s="237" t="s">
        <v>610</v>
      </c>
      <c r="J157" s="236">
        <v>0.79400000000000004</v>
      </c>
      <c r="K157" s="239">
        <f t="shared" si="6"/>
        <v>0</v>
      </c>
    </row>
    <row r="158" spans="1:11" ht="15" customHeight="1" x14ac:dyDescent="0.25">
      <c r="A158" s="266"/>
      <c r="B158" s="125"/>
      <c r="C158" s="123"/>
      <c r="D158" s="236">
        <v>0.441</v>
      </c>
      <c r="E158" s="237" t="s">
        <v>611</v>
      </c>
      <c r="F158" s="199">
        <f t="shared" si="7"/>
        <v>0.441</v>
      </c>
      <c r="G158" s="123"/>
      <c r="H158" s="238"/>
      <c r="I158" s="237" t="s">
        <v>611</v>
      </c>
      <c r="J158" s="236">
        <v>0.441</v>
      </c>
      <c r="K158" s="239">
        <f t="shared" si="6"/>
        <v>0</v>
      </c>
    </row>
    <row r="159" spans="1:11" ht="15" customHeight="1" x14ac:dyDescent="0.25">
      <c r="A159" s="266"/>
      <c r="B159" s="125"/>
      <c r="C159" s="123"/>
      <c r="D159" s="236">
        <v>0.317</v>
      </c>
      <c r="E159" s="237" t="s">
        <v>610</v>
      </c>
      <c r="F159" s="199">
        <f t="shared" si="7"/>
        <v>0.317</v>
      </c>
      <c r="G159" s="123"/>
      <c r="H159" s="238"/>
      <c r="I159" s="237" t="s">
        <v>610</v>
      </c>
      <c r="J159" s="236">
        <v>0.317</v>
      </c>
      <c r="K159" s="239">
        <f t="shared" si="6"/>
        <v>0</v>
      </c>
    </row>
    <row r="160" spans="1:11" ht="15" customHeight="1" x14ac:dyDescent="0.25">
      <c r="A160" s="266"/>
      <c r="B160" s="217"/>
      <c r="C160" s="218"/>
      <c r="D160" s="236">
        <v>0.48680000000000001</v>
      </c>
      <c r="E160" s="237" t="s">
        <v>612</v>
      </c>
      <c r="F160" s="199">
        <f t="shared" si="7"/>
        <v>0.48680000000000001</v>
      </c>
      <c r="G160" s="123"/>
      <c r="H160" s="238"/>
      <c r="I160" s="237" t="s">
        <v>617</v>
      </c>
      <c r="J160" s="240">
        <v>0</v>
      </c>
      <c r="K160" s="238">
        <f t="shared" si="6"/>
        <v>0.48680000000000001</v>
      </c>
    </row>
    <row r="161" spans="1:11" ht="15" customHeight="1" x14ac:dyDescent="0.25">
      <c r="A161" s="266"/>
      <c r="B161" s="145"/>
      <c r="C161" s="106"/>
      <c r="D161" s="236">
        <v>0.48699999999999999</v>
      </c>
      <c r="E161" s="237" t="s">
        <v>520</v>
      </c>
      <c r="F161" s="199">
        <f t="shared" si="7"/>
        <v>0.48699999999999999</v>
      </c>
      <c r="G161" s="144"/>
      <c r="H161" s="238"/>
      <c r="I161" s="237" t="s">
        <v>613</v>
      </c>
      <c r="J161" s="240">
        <v>0</v>
      </c>
      <c r="K161" s="238">
        <f t="shared" si="6"/>
        <v>0.48699999999999999</v>
      </c>
    </row>
    <row r="162" spans="1:11" ht="15" customHeight="1" x14ac:dyDescent="0.25">
      <c r="A162" s="266"/>
      <c r="B162" s="145"/>
      <c r="C162" s="145"/>
      <c r="D162" s="236">
        <v>0.48680000000000001</v>
      </c>
      <c r="E162" s="237" t="s">
        <v>614</v>
      </c>
      <c r="F162" s="199">
        <f t="shared" si="7"/>
        <v>0.48680000000000001</v>
      </c>
      <c r="G162" s="144"/>
      <c r="H162" s="238"/>
      <c r="I162" s="237" t="s">
        <v>615</v>
      </c>
      <c r="J162" s="236">
        <v>0.39900000000000002</v>
      </c>
      <c r="K162" s="238">
        <f t="shared" si="6"/>
        <v>8.7799999999999989E-2</v>
      </c>
    </row>
    <row r="163" spans="1:11" ht="15" customHeight="1" x14ac:dyDescent="0.25">
      <c r="A163" s="266"/>
      <c r="B163" s="145"/>
      <c r="C163" s="145"/>
      <c r="D163" s="236">
        <v>0.48699999999999999</v>
      </c>
      <c r="E163" s="237" t="s">
        <v>616</v>
      </c>
      <c r="F163" s="199">
        <f t="shared" si="7"/>
        <v>0.48699999999999999</v>
      </c>
      <c r="G163" s="144"/>
      <c r="H163" s="238"/>
      <c r="I163" s="237" t="s">
        <v>616</v>
      </c>
      <c r="J163" s="236">
        <v>0.3992</v>
      </c>
      <c r="K163" s="238">
        <f t="shared" si="6"/>
        <v>8.7799999999999989E-2</v>
      </c>
    </row>
    <row r="164" spans="1:11" ht="15" customHeight="1" x14ac:dyDescent="0.25">
      <c r="A164" s="266"/>
      <c r="B164" s="219"/>
      <c r="C164" s="185"/>
      <c r="D164" s="236">
        <v>0.66990000000000005</v>
      </c>
      <c r="E164" s="237" t="s">
        <v>618</v>
      </c>
      <c r="F164" s="199">
        <f t="shared" si="7"/>
        <v>0.66990000000000005</v>
      </c>
      <c r="G164" s="212"/>
      <c r="H164" s="238"/>
      <c r="I164" s="237" t="s">
        <v>619</v>
      </c>
      <c r="J164" s="236">
        <v>6.6900000000000001E-2</v>
      </c>
      <c r="K164" s="238">
        <f t="shared" si="6"/>
        <v>0.60300000000000009</v>
      </c>
    </row>
    <row r="165" spans="1:11" ht="31.5" customHeight="1" x14ac:dyDescent="0.25">
      <c r="A165" s="266"/>
      <c r="B165" s="185"/>
      <c r="C165" s="185"/>
      <c r="D165" s="236">
        <v>0.38300000000000001</v>
      </c>
      <c r="E165" s="237" t="s">
        <v>620</v>
      </c>
      <c r="F165" s="106">
        <f t="shared" si="7"/>
        <v>0.38300000000000001</v>
      </c>
      <c r="G165" s="212"/>
      <c r="H165" s="238"/>
      <c r="I165" s="237" t="s">
        <v>620</v>
      </c>
      <c r="J165" s="236">
        <v>4.9799999999999997E-2</v>
      </c>
      <c r="K165" s="238">
        <f t="shared" si="6"/>
        <v>0.3332</v>
      </c>
    </row>
    <row r="166" spans="1:11" ht="45" customHeight="1" x14ac:dyDescent="0.25">
      <c r="A166" s="266"/>
      <c r="B166" s="185"/>
      <c r="C166" s="185"/>
      <c r="D166" s="236">
        <v>7.4999999999999997E-2</v>
      </c>
      <c r="E166" s="237" t="s">
        <v>621</v>
      </c>
      <c r="F166" s="220">
        <f t="shared" si="7"/>
        <v>7.4999999999999997E-2</v>
      </c>
      <c r="G166" s="212"/>
      <c r="H166" s="238"/>
      <c r="I166" s="237" t="s">
        <v>621</v>
      </c>
      <c r="J166" s="236">
        <v>5.1999999999999998E-2</v>
      </c>
      <c r="K166" s="238">
        <f t="shared" si="6"/>
        <v>2.3E-2</v>
      </c>
    </row>
    <row r="167" spans="1:11" ht="45" customHeight="1" x14ac:dyDescent="0.25">
      <c r="A167" s="266"/>
      <c r="B167" s="185"/>
      <c r="C167" s="185"/>
      <c r="D167" s="236">
        <v>7.8899999999999998E-2</v>
      </c>
      <c r="E167" s="237" t="s">
        <v>622</v>
      </c>
      <c r="F167" s="106">
        <f t="shared" si="7"/>
        <v>7.8899999999999998E-2</v>
      </c>
      <c r="G167" s="212"/>
      <c r="H167" s="238"/>
      <c r="I167" s="237" t="s">
        <v>622</v>
      </c>
      <c r="J167" s="236">
        <v>7.8899999999999998E-2</v>
      </c>
      <c r="K167" s="239">
        <f t="shared" si="6"/>
        <v>0</v>
      </c>
    </row>
    <row r="168" spans="1:11" ht="15" customHeight="1" x14ac:dyDescent="0.25">
      <c r="A168" s="266"/>
      <c r="B168" s="185"/>
      <c r="C168" s="185"/>
      <c r="D168" s="236">
        <v>0.54890000000000005</v>
      </c>
      <c r="E168" s="237" t="s">
        <v>623</v>
      </c>
      <c r="F168" s="106">
        <f t="shared" si="7"/>
        <v>0.54890000000000005</v>
      </c>
      <c r="G168" s="212"/>
      <c r="H168" s="238"/>
      <c r="I168" s="237" t="s">
        <v>521</v>
      </c>
      <c r="J168" s="236">
        <v>0.22</v>
      </c>
      <c r="K168" s="238">
        <f t="shared" ref="K168:K199" si="8">SUM(F168)-J168</f>
        <v>0.32890000000000008</v>
      </c>
    </row>
    <row r="169" spans="1:11" ht="15" customHeight="1" x14ac:dyDescent="0.25">
      <c r="A169" s="266"/>
      <c r="B169" s="185"/>
      <c r="C169" s="185"/>
      <c r="D169" s="236">
        <f>0.2867</f>
        <v>0.28670000000000001</v>
      </c>
      <c r="E169" s="237" t="s">
        <v>624</v>
      </c>
      <c r="F169" s="106">
        <f t="shared" si="7"/>
        <v>0.28670000000000001</v>
      </c>
      <c r="G169" s="212"/>
      <c r="H169" s="238"/>
      <c r="I169" s="237" t="s">
        <v>625</v>
      </c>
      <c r="J169" s="236">
        <f>0.2867</f>
        <v>0.28670000000000001</v>
      </c>
      <c r="K169" s="239">
        <f t="shared" si="8"/>
        <v>0</v>
      </c>
    </row>
    <row r="170" spans="1:11" ht="15" customHeight="1" x14ac:dyDescent="0.25">
      <c r="A170" s="266"/>
      <c r="B170" s="185"/>
      <c r="C170" s="185"/>
      <c r="D170" s="236">
        <v>0.41</v>
      </c>
      <c r="E170" s="237" t="s">
        <v>626</v>
      </c>
      <c r="F170" s="106">
        <f t="shared" si="7"/>
        <v>0.41</v>
      </c>
      <c r="G170" s="212"/>
      <c r="H170" s="238"/>
      <c r="I170" s="237" t="s">
        <v>627</v>
      </c>
      <c r="J170" s="236">
        <v>0.30815999999999999</v>
      </c>
      <c r="K170" s="238">
        <f t="shared" si="8"/>
        <v>0.10183999999999999</v>
      </c>
    </row>
    <row r="171" spans="1:11" ht="15" customHeight="1" x14ac:dyDescent="0.25">
      <c r="A171" s="266"/>
      <c r="B171" s="185"/>
      <c r="C171" s="185"/>
      <c r="D171" s="236">
        <v>0.79286999999999996</v>
      </c>
      <c r="E171" s="237" t="s">
        <v>628</v>
      </c>
      <c r="F171" s="106">
        <f t="shared" si="7"/>
        <v>0.79286999999999996</v>
      </c>
      <c r="G171" s="212"/>
      <c r="H171" s="238"/>
      <c r="I171" s="237" t="s">
        <v>628</v>
      </c>
      <c r="J171" s="236">
        <v>0.1585</v>
      </c>
      <c r="K171" s="238">
        <f t="shared" si="8"/>
        <v>0.63436999999999999</v>
      </c>
    </row>
    <row r="172" spans="1:11" ht="15" customHeight="1" x14ac:dyDescent="0.25">
      <c r="A172" s="266"/>
      <c r="B172" s="185"/>
      <c r="C172" s="185"/>
      <c r="D172" s="236">
        <v>0.5071</v>
      </c>
      <c r="E172" s="237" t="s">
        <v>629</v>
      </c>
      <c r="F172" s="106">
        <f t="shared" si="7"/>
        <v>0.5071</v>
      </c>
      <c r="G172" s="212"/>
      <c r="H172" s="238"/>
      <c r="I172" s="237" t="s">
        <v>630</v>
      </c>
      <c r="J172" s="240">
        <v>0</v>
      </c>
      <c r="K172" s="238">
        <f t="shared" si="8"/>
        <v>0.5071</v>
      </c>
    </row>
    <row r="173" spans="1:11" ht="15" customHeight="1" x14ac:dyDescent="0.3">
      <c r="A173" s="266"/>
      <c r="B173" s="209"/>
      <c r="C173" s="185"/>
      <c r="D173" s="236">
        <v>0.82169999999999999</v>
      </c>
      <c r="E173" s="237" t="s">
        <v>631</v>
      </c>
      <c r="F173" s="106">
        <f t="shared" si="7"/>
        <v>0.82169999999999999</v>
      </c>
      <c r="G173" s="212"/>
      <c r="H173" s="238"/>
      <c r="I173" s="237" t="s">
        <v>631</v>
      </c>
      <c r="J173" s="236">
        <v>0.41909999999999997</v>
      </c>
      <c r="K173" s="238">
        <f t="shared" si="8"/>
        <v>0.40260000000000001</v>
      </c>
    </row>
    <row r="174" spans="1:11" ht="15" customHeight="1" x14ac:dyDescent="0.25">
      <c r="A174" s="266"/>
      <c r="B174" s="185"/>
      <c r="C174" s="185"/>
      <c r="D174" s="236">
        <v>0.28670000000000001</v>
      </c>
      <c r="E174" s="237" t="s">
        <v>632</v>
      </c>
      <c r="F174" s="106">
        <f t="shared" si="7"/>
        <v>0.28670000000000001</v>
      </c>
      <c r="G174" s="212"/>
      <c r="H174" s="238"/>
      <c r="I174" s="237" t="s">
        <v>632</v>
      </c>
      <c r="J174" s="236">
        <v>0.22</v>
      </c>
      <c r="K174" s="238">
        <f t="shared" si="8"/>
        <v>6.6700000000000009E-2</v>
      </c>
    </row>
    <row r="175" spans="1:11" ht="30" customHeight="1" x14ac:dyDescent="0.25">
      <c r="A175" s="266"/>
      <c r="B175" s="185"/>
      <c r="C175" s="185"/>
      <c r="D175" s="236">
        <v>0.27879999999999999</v>
      </c>
      <c r="E175" s="237" t="s">
        <v>633</v>
      </c>
      <c r="F175" s="106">
        <f t="shared" si="7"/>
        <v>0.27879999999999999</v>
      </c>
      <c r="G175" s="212"/>
      <c r="H175" s="238"/>
      <c r="I175" s="237" t="s">
        <v>633</v>
      </c>
      <c r="J175" s="236">
        <v>0.2324</v>
      </c>
      <c r="K175" s="238">
        <f t="shared" si="8"/>
        <v>4.6399999999999997E-2</v>
      </c>
    </row>
    <row r="176" spans="1:11" ht="15" customHeight="1" x14ac:dyDescent="0.25">
      <c r="A176" s="266"/>
      <c r="B176" s="185"/>
      <c r="C176" s="185"/>
      <c r="D176" s="236">
        <v>0.18590000000000001</v>
      </c>
      <c r="E176" s="237" t="s">
        <v>634</v>
      </c>
      <c r="F176" s="106">
        <f t="shared" si="7"/>
        <v>0.18590000000000001</v>
      </c>
      <c r="G176" s="212"/>
      <c r="H176" s="238"/>
      <c r="I176" s="237" t="s">
        <v>634</v>
      </c>
      <c r="J176" s="240">
        <v>0</v>
      </c>
      <c r="K176" s="238">
        <f t="shared" si="8"/>
        <v>0.18590000000000001</v>
      </c>
    </row>
    <row r="177" spans="1:11" ht="15" customHeight="1" x14ac:dyDescent="0.25">
      <c r="A177" s="266"/>
      <c r="B177" s="185"/>
      <c r="C177" s="185"/>
      <c r="D177" s="236">
        <v>0.35399999999999998</v>
      </c>
      <c r="E177" s="237" t="s">
        <v>635</v>
      </c>
      <c r="F177" s="106">
        <f t="shared" si="7"/>
        <v>0.35399999999999998</v>
      </c>
      <c r="G177" s="212"/>
      <c r="H177" s="238"/>
      <c r="I177" s="237" t="s">
        <v>635</v>
      </c>
      <c r="J177" s="236">
        <v>0.251</v>
      </c>
      <c r="K177" s="238">
        <f t="shared" si="8"/>
        <v>0.10299999999999998</v>
      </c>
    </row>
    <row r="178" spans="1:11" ht="15" customHeight="1" x14ac:dyDescent="0.25">
      <c r="A178" s="266"/>
      <c r="B178" s="185"/>
      <c r="C178" s="185"/>
      <c r="D178" s="236">
        <v>0.33700000000000002</v>
      </c>
      <c r="E178" s="237" t="s">
        <v>636</v>
      </c>
      <c r="F178" s="106">
        <f t="shared" si="7"/>
        <v>0.33700000000000002</v>
      </c>
      <c r="G178" s="212"/>
      <c r="H178" s="238"/>
      <c r="I178" s="237" t="s">
        <v>636</v>
      </c>
      <c r="J178" s="236">
        <v>0.20960000000000001</v>
      </c>
      <c r="K178" s="238">
        <f t="shared" si="8"/>
        <v>0.12740000000000001</v>
      </c>
    </row>
    <row r="179" spans="1:11" ht="15" customHeight="1" x14ac:dyDescent="0.25">
      <c r="A179" s="266"/>
      <c r="B179" s="185"/>
      <c r="C179" s="185"/>
      <c r="D179" s="236">
        <v>0.3745</v>
      </c>
      <c r="E179" s="237" t="s">
        <v>637</v>
      </c>
      <c r="F179" s="106">
        <f t="shared" ref="F179:F204" si="9">D179</f>
        <v>0.3745</v>
      </c>
      <c r="G179" s="212"/>
      <c r="H179" s="238"/>
      <c r="I179" s="237" t="s">
        <v>637</v>
      </c>
      <c r="J179" s="240">
        <v>0</v>
      </c>
      <c r="K179" s="238">
        <f t="shared" si="8"/>
        <v>0.3745</v>
      </c>
    </row>
    <row r="180" spans="1:11" ht="15" customHeight="1" x14ac:dyDescent="0.25">
      <c r="A180" s="266"/>
      <c r="B180" s="185"/>
      <c r="C180" s="185"/>
      <c r="D180" s="236">
        <v>0.20430000000000001</v>
      </c>
      <c r="E180" s="237" t="s">
        <v>638</v>
      </c>
      <c r="F180" s="106">
        <f t="shared" si="9"/>
        <v>0.20430000000000001</v>
      </c>
      <c r="G180" s="212"/>
      <c r="H180" s="238"/>
      <c r="I180" s="237" t="s">
        <v>638</v>
      </c>
      <c r="J180" s="236">
        <v>0.1021</v>
      </c>
      <c r="K180" s="238">
        <f t="shared" si="8"/>
        <v>0.10220000000000001</v>
      </c>
    </row>
    <row r="181" spans="1:11" ht="15" customHeight="1" x14ac:dyDescent="0.25">
      <c r="A181" s="266"/>
      <c r="B181" s="221" t="s">
        <v>522</v>
      </c>
      <c r="C181" s="185"/>
      <c r="D181" s="242">
        <v>1.1399999999999999</v>
      </c>
      <c r="E181" s="243" t="s">
        <v>523</v>
      </c>
      <c r="F181" s="106">
        <f t="shared" si="9"/>
        <v>1.1399999999999999</v>
      </c>
      <c r="G181" s="212"/>
      <c r="H181" s="212"/>
      <c r="I181" s="243" t="s">
        <v>523</v>
      </c>
      <c r="J181" s="244">
        <v>0</v>
      </c>
      <c r="K181" s="238">
        <f t="shared" si="8"/>
        <v>1.1399999999999999</v>
      </c>
    </row>
    <row r="182" spans="1:11" ht="28.5" customHeight="1" x14ac:dyDescent="0.25">
      <c r="A182" s="266"/>
      <c r="B182" s="185"/>
      <c r="C182" s="185"/>
      <c r="D182" s="242">
        <v>0.23</v>
      </c>
      <c r="E182" s="243" t="s">
        <v>639</v>
      </c>
      <c r="F182" s="106">
        <f t="shared" si="9"/>
        <v>0.23</v>
      </c>
      <c r="G182" s="212"/>
      <c r="H182" s="212"/>
      <c r="I182" s="243" t="s">
        <v>639</v>
      </c>
      <c r="J182" s="244">
        <v>0</v>
      </c>
      <c r="K182" s="238">
        <f t="shared" si="8"/>
        <v>0.23</v>
      </c>
    </row>
    <row r="183" spans="1:11" ht="15" customHeight="1" x14ac:dyDescent="0.25">
      <c r="A183" s="266"/>
      <c r="B183" s="185"/>
      <c r="C183" s="185"/>
      <c r="D183" s="242">
        <v>0.7</v>
      </c>
      <c r="E183" s="245" t="s">
        <v>524</v>
      </c>
      <c r="F183" s="106">
        <f t="shared" si="9"/>
        <v>0.7</v>
      </c>
      <c r="G183" s="212"/>
      <c r="H183" s="212"/>
      <c r="I183" s="245" t="s">
        <v>524</v>
      </c>
      <c r="J183" s="244">
        <v>0</v>
      </c>
      <c r="K183" s="238">
        <f t="shared" si="8"/>
        <v>0.7</v>
      </c>
    </row>
    <row r="184" spans="1:11" ht="40.5" customHeight="1" x14ac:dyDescent="0.25">
      <c r="A184" s="266"/>
      <c r="B184" s="185"/>
      <c r="C184" s="185"/>
      <c r="D184" s="242">
        <v>0.3</v>
      </c>
      <c r="E184" s="243" t="s">
        <v>525</v>
      </c>
      <c r="F184" s="106">
        <f t="shared" si="9"/>
        <v>0.3</v>
      </c>
      <c r="G184" s="212"/>
      <c r="H184" s="212"/>
      <c r="I184" s="243" t="s">
        <v>525</v>
      </c>
      <c r="J184" s="244">
        <v>0</v>
      </c>
      <c r="K184" s="238">
        <f t="shared" si="8"/>
        <v>0.3</v>
      </c>
    </row>
    <row r="185" spans="1:11" ht="28.5" customHeight="1" x14ac:dyDescent="0.25">
      <c r="A185" s="266"/>
      <c r="B185" s="185"/>
      <c r="C185" s="185"/>
      <c r="D185" s="242">
        <v>0.39</v>
      </c>
      <c r="E185" s="243" t="s">
        <v>526</v>
      </c>
      <c r="F185" s="246">
        <f t="shared" si="9"/>
        <v>0.39</v>
      </c>
      <c r="G185" s="212"/>
      <c r="H185" s="212"/>
      <c r="I185" s="243" t="s">
        <v>526</v>
      </c>
      <c r="J185" s="244">
        <v>0</v>
      </c>
      <c r="K185" s="238">
        <f t="shared" si="8"/>
        <v>0.39</v>
      </c>
    </row>
    <row r="186" spans="1:11" ht="15" customHeight="1" x14ac:dyDescent="0.25">
      <c r="A186" s="266"/>
      <c r="B186" s="185"/>
      <c r="C186" s="185"/>
      <c r="D186" s="242">
        <v>1.8</v>
      </c>
      <c r="E186" s="245" t="s">
        <v>527</v>
      </c>
      <c r="F186" s="246">
        <f t="shared" si="9"/>
        <v>1.8</v>
      </c>
      <c r="G186" s="212"/>
      <c r="H186" s="212"/>
      <c r="I186" s="245" t="s">
        <v>527</v>
      </c>
      <c r="J186" s="244">
        <v>0</v>
      </c>
      <c r="K186" s="238">
        <f t="shared" si="8"/>
        <v>1.8</v>
      </c>
    </row>
    <row r="187" spans="1:11" ht="27" customHeight="1" x14ac:dyDescent="0.25">
      <c r="A187" s="266"/>
      <c r="B187" s="221"/>
      <c r="C187" s="185"/>
      <c r="D187" s="242">
        <v>7.5</v>
      </c>
      <c r="E187" s="243" t="s">
        <v>528</v>
      </c>
      <c r="F187" s="246">
        <f t="shared" si="9"/>
        <v>7.5</v>
      </c>
      <c r="G187" s="212"/>
      <c r="H187" s="212"/>
      <c r="I187" s="243" t="s">
        <v>528</v>
      </c>
      <c r="J187" s="244">
        <v>0</v>
      </c>
      <c r="K187" s="238">
        <f t="shared" si="8"/>
        <v>7.5</v>
      </c>
    </row>
    <row r="188" spans="1:11" ht="15" customHeight="1" x14ac:dyDescent="0.25">
      <c r="A188" s="266"/>
      <c r="B188" s="185"/>
      <c r="C188" s="185"/>
      <c r="D188" s="242">
        <v>7.2</v>
      </c>
      <c r="E188" s="245" t="s">
        <v>529</v>
      </c>
      <c r="F188" s="246">
        <f t="shared" si="9"/>
        <v>7.2</v>
      </c>
      <c r="G188" s="212"/>
      <c r="H188" s="212"/>
      <c r="I188" s="245" t="s">
        <v>529</v>
      </c>
      <c r="J188" s="244">
        <v>0</v>
      </c>
      <c r="K188" s="238">
        <f t="shared" si="8"/>
        <v>7.2</v>
      </c>
    </row>
    <row r="189" spans="1:11" ht="15" customHeight="1" x14ac:dyDescent="0.25">
      <c r="A189" s="266"/>
      <c r="B189" s="185"/>
      <c r="C189" s="185"/>
      <c r="D189" s="242">
        <v>0.2</v>
      </c>
      <c r="E189" s="245" t="s">
        <v>530</v>
      </c>
      <c r="F189" s="246">
        <f t="shared" si="9"/>
        <v>0.2</v>
      </c>
      <c r="G189" s="212"/>
      <c r="H189" s="212"/>
      <c r="I189" s="245" t="s">
        <v>530</v>
      </c>
      <c r="J189" s="244">
        <v>0</v>
      </c>
      <c r="K189" s="238">
        <f t="shared" si="8"/>
        <v>0.2</v>
      </c>
    </row>
    <row r="190" spans="1:11" ht="15" customHeight="1" x14ac:dyDescent="0.25">
      <c r="A190" s="266"/>
      <c r="B190" s="185"/>
      <c r="C190" s="185"/>
      <c r="D190" s="242">
        <v>3.4</v>
      </c>
      <c r="E190" s="245" t="s">
        <v>531</v>
      </c>
      <c r="F190" s="246">
        <f t="shared" si="9"/>
        <v>3.4</v>
      </c>
      <c r="G190" s="212"/>
      <c r="H190" s="212"/>
      <c r="I190" s="245" t="s">
        <v>531</v>
      </c>
      <c r="J190" s="244">
        <v>0</v>
      </c>
      <c r="K190" s="238">
        <f t="shared" si="8"/>
        <v>3.4</v>
      </c>
    </row>
    <row r="191" spans="1:11" ht="15" customHeight="1" x14ac:dyDescent="0.25">
      <c r="A191" s="266"/>
      <c r="B191" s="185"/>
      <c r="C191" s="185"/>
      <c r="D191" s="242">
        <v>0.35</v>
      </c>
      <c r="E191" s="245" t="s">
        <v>532</v>
      </c>
      <c r="F191" s="247">
        <f t="shared" si="9"/>
        <v>0.35</v>
      </c>
      <c r="G191" s="212"/>
      <c r="H191" s="212"/>
      <c r="I191" s="245" t="s">
        <v>532</v>
      </c>
      <c r="J191" s="244">
        <v>0</v>
      </c>
      <c r="K191" s="238">
        <f t="shared" si="8"/>
        <v>0.35</v>
      </c>
    </row>
    <row r="192" spans="1:11" ht="15" customHeight="1" x14ac:dyDescent="0.25">
      <c r="A192" s="266"/>
      <c r="B192" s="185"/>
      <c r="C192" s="185"/>
      <c r="D192" s="242">
        <v>0.3</v>
      </c>
      <c r="E192" s="245" t="s">
        <v>533</v>
      </c>
      <c r="F192" s="246">
        <f t="shared" si="9"/>
        <v>0.3</v>
      </c>
      <c r="G192" s="212"/>
      <c r="H192" s="212"/>
      <c r="I192" s="245" t="s">
        <v>533</v>
      </c>
      <c r="J192" s="244">
        <v>0</v>
      </c>
      <c r="K192" s="238">
        <f t="shared" si="8"/>
        <v>0.3</v>
      </c>
    </row>
    <row r="193" spans="1:11" ht="15" customHeight="1" x14ac:dyDescent="0.25">
      <c r="A193" s="266"/>
      <c r="B193" s="185"/>
      <c r="C193" s="185"/>
      <c r="D193" s="242">
        <v>0.7</v>
      </c>
      <c r="E193" s="245" t="s">
        <v>534</v>
      </c>
      <c r="F193" s="246">
        <f t="shared" si="9"/>
        <v>0.7</v>
      </c>
      <c r="G193" s="212"/>
      <c r="H193" s="212"/>
      <c r="I193" s="245" t="s">
        <v>534</v>
      </c>
      <c r="J193" s="244">
        <v>0</v>
      </c>
      <c r="K193" s="238">
        <f t="shared" si="8"/>
        <v>0.7</v>
      </c>
    </row>
    <row r="194" spans="1:11" ht="15" customHeight="1" x14ac:dyDescent="0.25">
      <c r="A194" s="266"/>
      <c r="B194" s="185"/>
      <c r="C194" s="185"/>
      <c r="D194" s="242">
        <v>0.6</v>
      </c>
      <c r="E194" s="245" t="s">
        <v>535</v>
      </c>
      <c r="F194" s="246">
        <f t="shared" si="9"/>
        <v>0.6</v>
      </c>
      <c r="G194" s="212"/>
      <c r="H194" s="212"/>
      <c r="I194" s="245" t="s">
        <v>535</v>
      </c>
      <c r="J194" s="244">
        <v>0</v>
      </c>
      <c r="K194" s="238">
        <f t="shared" si="8"/>
        <v>0.6</v>
      </c>
    </row>
    <row r="195" spans="1:11" ht="15" customHeight="1" x14ac:dyDescent="0.25">
      <c r="A195" s="266"/>
      <c r="B195" s="185"/>
      <c r="C195" s="185"/>
      <c r="D195" s="242">
        <v>2.4</v>
      </c>
      <c r="E195" s="245" t="s">
        <v>536</v>
      </c>
      <c r="F195" s="246">
        <f t="shared" si="9"/>
        <v>2.4</v>
      </c>
      <c r="G195" s="212"/>
      <c r="H195" s="212"/>
      <c r="I195" s="245" t="s">
        <v>536</v>
      </c>
      <c r="J195" s="244">
        <v>0</v>
      </c>
      <c r="K195" s="238">
        <f t="shared" si="8"/>
        <v>2.4</v>
      </c>
    </row>
    <row r="196" spans="1:11" ht="15" customHeight="1" x14ac:dyDescent="0.25">
      <c r="A196" s="266"/>
      <c r="B196" s="185"/>
      <c r="C196" s="185"/>
      <c r="D196" s="242">
        <v>0.6</v>
      </c>
      <c r="E196" s="245" t="s">
        <v>537</v>
      </c>
      <c r="F196" s="246">
        <f t="shared" si="9"/>
        <v>0.6</v>
      </c>
      <c r="G196" s="212"/>
      <c r="H196" s="212"/>
      <c r="I196" s="245" t="s">
        <v>537</v>
      </c>
      <c r="J196" s="244">
        <v>0</v>
      </c>
      <c r="K196" s="238">
        <f t="shared" si="8"/>
        <v>0.6</v>
      </c>
    </row>
    <row r="197" spans="1:11" ht="15" customHeight="1" x14ac:dyDescent="0.25">
      <c r="A197" s="266"/>
      <c r="B197" s="185"/>
      <c r="C197" s="185"/>
      <c r="D197" s="242">
        <v>0.6</v>
      </c>
      <c r="E197" s="245" t="s">
        <v>537</v>
      </c>
      <c r="F197" s="246">
        <f t="shared" si="9"/>
        <v>0.6</v>
      </c>
      <c r="G197" s="212"/>
      <c r="H197" s="212"/>
      <c r="I197" s="245" t="s">
        <v>537</v>
      </c>
      <c r="J197" s="244">
        <v>0</v>
      </c>
      <c r="K197" s="238">
        <f t="shared" si="8"/>
        <v>0.6</v>
      </c>
    </row>
    <row r="198" spans="1:11" ht="15" customHeight="1" x14ac:dyDescent="0.25">
      <c r="A198" s="266"/>
      <c r="B198" s="185"/>
      <c r="C198" s="185"/>
      <c r="D198" s="242">
        <v>0.6</v>
      </c>
      <c r="E198" s="243" t="s">
        <v>538</v>
      </c>
      <c r="F198" s="246">
        <f t="shared" si="9"/>
        <v>0.6</v>
      </c>
      <c r="G198" s="212"/>
      <c r="H198" s="212"/>
      <c r="I198" s="243" t="s">
        <v>538</v>
      </c>
      <c r="J198" s="244">
        <v>0</v>
      </c>
      <c r="K198" s="238">
        <f t="shared" si="8"/>
        <v>0.6</v>
      </c>
    </row>
    <row r="199" spans="1:11" ht="15" customHeight="1" x14ac:dyDescent="0.25">
      <c r="A199" s="266"/>
      <c r="B199" s="185"/>
      <c r="C199" s="185"/>
      <c r="D199" s="242">
        <v>0.4</v>
      </c>
      <c r="E199" s="243" t="s">
        <v>539</v>
      </c>
      <c r="F199" s="246">
        <f t="shared" si="9"/>
        <v>0.4</v>
      </c>
      <c r="G199" s="212"/>
      <c r="H199" s="212"/>
      <c r="I199" s="243" t="s">
        <v>539</v>
      </c>
      <c r="J199" s="244">
        <v>0</v>
      </c>
      <c r="K199" s="238">
        <f t="shared" si="8"/>
        <v>0.4</v>
      </c>
    </row>
    <row r="200" spans="1:11" ht="15" customHeight="1" x14ac:dyDescent="0.25">
      <c r="A200" s="266"/>
      <c r="B200" s="185"/>
      <c r="C200" s="185"/>
      <c r="D200" s="242">
        <v>0.8</v>
      </c>
      <c r="E200" s="245" t="s">
        <v>540</v>
      </c>
      <c r="F200" s="246">
        <f t="shared" si="9"/>
        <v>0.8</v>
      </c>
      <c r="G200" s="212"/>
      <c r="H200" s="212"/>
      <c r="I200" s="245" t="s">
        <v>540</v>
      </c>
      <c r="J200" s="244">
        <v>0</v>
      </c>
      <c r="K200" s="238">
        <f t="shared" ref="K200:K204" si="10">SUM(F200)-J200</f>
        <v>0.8</v>
      </c>
    </row>
    <row r="201" spans="1:11" ht="15" customHeight="1" x14ac:dyDescent="0.25">
      <c r="A201" s="266"/>
      <c r="B201" s="185"/>
      <c r="C201" s="185"/>
      <c r="D201" s="242">
        <v>0.3</v>
      </c>
      <c r="E201" s="245" t="s">
        <v>541</v>
      </c>
      <c r="F201" s="246">
        <f t="shared" si="9"/>
        <v>0.3</v>
      </c>
      <c r="G201" s="212"/>
      <c r="H201" s="212"/>
      <c r="I201" s="245" t="s">
        <v>541</v>
      </c>
      <c r="J201" s="244">
        <v>0</v>
      </c>
      <c r="K201" s="238">
        <f t="shared" si="10"/>
        <v>0.3</v>
      </c>
    </row>
    <row r="202" spans="1:11" ht="15" customHeight="1" x14ac:dyDescent="0.25">
      <c r="A202" s="266"/>
      <c r="B202" s="185"/>
      <c r="C202" s="185"/>
      <c r="D202" s="242">
        <v>0.6</v>
      </c>
      <c r="E202" s="245" t="s">
        <v>542</v>
      </c>
      <c r="F202" s="246">
        <f t="shared" si="9"/>
        <v>0.6</v>
      </c>
      <c r="G202" s="212"/>
      <c r="H202" s="212"/>
      <c r="I202" s="245" t="s">
        <v>542</v>
      </c>
      <c r="J202" s="244">
        <v>0</v>
      </c>
      <c r="K202" s="238">
        <f t="shared" si="10"/>
        <v>0.6</v>
      </c>
    </row>
    <row r="203" spans="1:11" ht="15" customHeight="1" x14ac:dyDescent="0.25">
      <c r="A203" s="266"/>
      <c r="B203" s="221"/>
      <c r="C203" s="185"/>
      <c r="D203" s="248">
        <v>30</v>
      </c>
      <c r="E203" s="243" t="s">
        <v>543</v>
      </c>
      <c r="F203" s="246">
        <f t="shared" si="9"/>
        <v>30</v>
      </c>
      <c r="G203" s="212"/>
      <c r="H203" s="212"/>
      <c r="I203" s="243" t="s">
        <v>543</v>
      </c>
      <c r="J203" s="244">
        <v>0</v>
      </c>
      <c r="K203" s="238">
        <f t="shared" si="10"/>
        <v>30</v>
      </c>
    </row>
    <row r="204" spans="1:11" ht="15" customHeight="1" x14ac:dyDescent="0.25">
      <c r="A204" s="266"/>
      <c r="B204" s="222" t="s">
        <v>544</v>
      </c>
      <c r="C204" s="185"/>
      <c r="D204" s="242">
        <v>4.6500000000000004</v>
      </c>
      <c r="E204" s="245" t="s">
        <v>545</v>
      </c>
      <c r="F204" s="246">
        <f t="shared" si="9"/>
        <v>4.6500000000000004</v>
      </c>
      <c r="G204" s="212"/>
      <c r="H204" s="212"/>
      <c r="I204" s="245" t="s">
        <v>545</v>
      </c>
      <c r="J204" s="244">
        <v>0</v>
      </c>
      <c r="K204" s="238">
        <f t="shared" si="10"/>
        <v>4.6500000000000004</v>
      </c>
    </row>
    <row r="205" spans="1:11" ht="30.75" customHeight="1" x14ac:dyDescent="0.25">
      <c r="A205" s="266"/>
      <c r="B205" s="222" t="s">
        <v>522</v>
      </c>
      <c r="C205" s="183">
        <v>7.3849999999999998</v>
      </c>
      <c r="D205" s="242"/>
      <c r="E205" s="245"/>
      <c r="F205" s="246">
        <f>C205</f>
        <v>7.3849999999999998</v>
      </c>
      <c r="G205" s="249" t="s">
        <v>560</v>
      </c>
      <c r="H205" s="212">
        <v>2.9039999999999999</v>
      </c>
      <c r="I205" s="245"/>
      <c r="J205" s="244">
        <v>0</v>
      </c>
      <c r="K205" s="293">
        <v>4.2409999999999997</v>
      </c>
    </row>
    <row r="206" spans="1:11" ht="73.5" customHeight="1" x14ac:dyDescent="0.25">
      <c r="A206" s="266"/>
      <c r="B206" s="222"/>
      <c r="C206" s="183"/>
      <c r="D206" s="242"/>
      <c r="E206" s="245"/>
      <c r="F206" s="246"/>
      <c r="G206" s="249" t="s">
        <v>641</v>
      </c>
      <c r="H206" s="250">
        <v>0.24</v>
      </c>
      <c r="I206" s="245"/>
      <c r="J206" s="244">
        <v>0</v>
      </c>
      <c r="K206" s="294"/>
    </row>
    <row r="207" spans="1:11" ht="86.25" customHeight="1" x14ac:dyDescent="0.25">
      <c r="A207" s="263"/>
      <c r="B207" s="222" t="s">
        <v>642</v>
      </c>
      <c r="C207" s="183"/>
      <c r="D207" s="242">
        <v>35.494</v>
      </c>
      <c r="E207" s="251" t="s">
        <v>643</v>
      </c>
      <c r="F207" s="246">
        <v>35.494</v>
      </c>
      <c r="G207" s="249"/>
      <c r="H207" s="250"/>
      <c r="I207" s="251" t="s">
        <v>643</v>
      </c>
      <c r="J207" s="244">
        <v>35.494</v>
      </c>
      <c r="K207" s="252">
        <v>0</v>
      </c>
    </row>
    <row r="208" spans="1:11" ht="33" customHeight="1" x14ac:dyDescent="0.25">
      <c r="A208" s="195" t="s">
        <v>16</v>
      </c>
      <c r="B208" s="185"/>
      <c r="C208" s="106">
        <f>C205</f>
        <v>7.3849999999999998</v>
      </c>
      <c r="D208" s="120">
        <f>SUM(D13:D207)</f>
        <v>352.43167000000017</v>
      </c>
      <c r="E208" s="130" t="s">
        <v>17</v>
      </c>
      <c r="F208" s="106">
        <f>C208+D208</f>
        <v>359.81667000000016</v>
      </c>
      <c r="G208" s="130" t="s">
        <v>17</v>
      </c>
      <c r="H208" s="170">
        <f>SUM(H205:H207)</f>
        <v>3.1440000000000001</v>
      </c>
      <c r="I208" s="130" t="s">
        <v>17</v>
      </c>
      <c r="J208" s="120">
        <f>SUM(J13:J207)</f>
        <v>243.95396000000011</v>
      </c>
      <c r="K208" s="106">
        <f>SUM(K13:K207)</f>
        <v>112.71873999999998</v>
      </c>
    </row>
    <row r="209" spans="1:11" ht="15" customHeight="1" x14ac:dyDescent="0.25">
      <c r="A209" s="196"/>
      <c r="B209" s="223"/>
      <c r="C209" s="223"/>
      <c r="D209" s="233"/>
      <c r="E209" s="223"/>
      <c r="F209" s="203"/>
      <c r="G209" s="223"/>
      <c r="H209" s="223"/>
      <c r="I209" s="223"/>
      <c r="J209" s="233"/>
      <c r="K209" s="203"/>
    </row>
    <row r="210" spans="1:11" ht="58.5" customHeight="1" x14ac:dyDescent="0.25">
      <c r="B210" s="224" t="s">
        <v>130</v>
      </c>
      <c r="C210" s="225"/>
      <c r="D210" s="234"/>
      <c r="E210" s="226"/>
      <c r="F210" s="292" t="s">
        <v>349</v>
      </c>
      <c r="G210" s="292"/>
      <c r="H210" s="112"/>
      <c r="I210" s="112"/>
    </row>
    <row r="211" spans="1:11" x14ac:dyDescent="0.25">
      <c r="B211" s="224"/>
      <c r="C211" s="225"/>
      <c r="D211" s="235"/>
      <c r="E211" s="225"/>
      <c r="F211" s="204"/>
      <c r="G211" s="227"/>
      <c r="H211" s="112"/>
      <c r="I211" s="112"/>
    </row>
    <row r="212" spans="1:11" x14ac:dyDescent="0.25">
      <c r="B212" s="224"/>
      <c r="C212" s="112"/>
      <c r="D212" s="116"/>
      <c r="E212" s="112"/>
      <c r="F212" s="204"/>
      <c r="G212" s="227"/>
      <c r="H212" s="112"/>
      <c r="I212" s="112"/>
    </row>
    <row r="213" spans="1:11" x14ac:dyDescent="0.25">
      <c r="B213" s="224" t="s">
        <v>514</v>
      </c>
      <c r="C213" s="225"/>
      <c r="D213" s="234"/>
      <c r="E213" s="226"/>
      <c r="F213" s="292" t="s">
        <v>134</v>
      </c>
      <c r="G213" s="292"/>
      <c r="H213" s="112"/>
      <c r="I213" s="112"/>
    </row>
    <row r="214" spans="1:11" x14ac:dyDescent="0.25">
      <c r="B214" s="224"/>
      <c r="C214" s="225"/>
      <c r="D214" s="235"/>
      <c r="E214" s="225"/>
      <c r="F214" s="204"/>
      <c r="G214" s="227"/>
      <c r="H214" s="112"/>
      <c r="I214" s="112"/>
    </row>
    <row r="215" spans="1:11" x14ac:dyDescent="0.25">
      <c r="B215" s="224"/>
      <c r="C215" s="112"/>
      <c r="D215" s="116"/>
      <c r="E215" s="112"/>
      <c r="F215" s="204"/>
      <c r="G215" s="227"/>
      <c r="H215" s="112"/>
      <c r="I215" s="112"/>
    </row>
    <row r="216" spans="1:11" x14ac:dyDescent="0.25">
      <c r="B216" s="224" t="s">
        <v>131</v>
      </c>
      <c r="C216" s="226"/>
      <c r="D216" s="234"/>
      <c r="E216" s="226"/>
      <c r="F216" s="292" t="s">
        <v>135</v>
      </c>
      <c r="G216" s="292"/>
      <c r="H216" s="112"/>
      <c r="I216" s="112"/>
    </row>
    <row r="217" spans="1:11" x14ac:dyDescent="0.25">
      <c r="B217" s="224"/>
    </row>
    <row r="300" spans="12:12" ht="15" customHeight="1" x14ac:dyDescent="0.25">
      <c r="L300" s="38"/>
    </row>
    <row r="301" spans="12:12" x14ac:dyDescent="0.25">
      <c r="L301" s="38"/>
    </row>
    <row r="302" spans="12:12" x14ac:dyDescent="0.25">
      <c r="L302" s="38"/>
    </row>
    <row r="303" spans="12:12" x14ac:dyDescent="0.25">
      <c r="L303" s="38"/>
    </row>
    <row r="304" spans="12:12" x14ac:dyDescent="0.25">
      <c r="L304" s="38"/>
    </row>
    <row r="305" spans="12:12" x14ac:dyDescent="0.25">
      <c r="L305" s="38"/>
    </row>
    <row r="306" spans="12:12" x14ac:dyDescent="0.25">
      <c r="L306" s="38"/>
    </row>
    <row r="307" spans="12:12" x14ac:dyDescent="0.25">
      <c r="L307" s="38"/>
    </row>
    <row r="308" spans="12:12" x14ac:dyDescent="0.25">
      <c r="L308" s="38"/>
    </row>
    <row r="309" spans="12:12" x14ac:dyDescent="0.25">
      <c r="L309" s="38"/>
    </row>
    <row r="310" spans="12:12" x14ac:dyDescent="0.25">
      <c r="L310" s="38"/>
    </row>
    <row r="311" spans="12:12" x14ac:dyDescent="0.25">
      <c r="L311" s="38"/>
    </row>
    <row r="312" spans="12:12" x14ac:dyDescent="0.25">
      <c r="L312" s="38"/>
    </row>
    <row r="313" spans="12:12" x14ac:dyDescent="0.25">
      <c r="L313" s="38"/>
    </row>
    <row r="314" spans="12:12" x14ac:dyDescent="0.25">
      <c r="L314" s="38"/>
    </row>
    <row r="315" spans="12:12" x14ac:dyDescent="0.25">
      <c r="L315" s="38"/>
    </row>
    <row r="316" spans="12:12" x14ac:dyDescent="0.25">
      <c r="L316" s="38"/>
    </row>
    <row r="317" spans="12:12" x14ac:dyDescent="0.25">
      <c r="L317" s="38"/>
    </row>
    <row r="318" spans="12:12" x14ac:dyDescent="0.25">
      <c r="L318" s="38"/>
    </row>
    <row r="319" spans="12:12" x14ac:dyDescent="0.25">
      <c r="L319" s="38"/>
    </row>
    <row r="320" spans="12:12" x14ac:dyDescent="0.25">
      <c r="L320" s="38"/>
    </row>
    <row r="321" spans="12:12" x14ac:dyDescent="0.25">
      <c r="L321" s="38"/>
    </row>
    <row r="322" spans="12:12" x14ac:dyDescent="0.25">
      <c r="L322" s="38"/>
    </row>
    <row r="323" spans="12:12" x14ac:dyDescent="0.25">
      <c r="L323" s="38"/>
    </row>
    <row r="354" spans="12:12" ht="39" customHeight="1" x14ac:dyDescent="0.25">
      <c r="L354" s="38"/>
    </row>
    <row r="355" spans="12:12" x14ac:dyDescent="0.25">
      <c r="L355" s="38"/>
    </row>
    <row r="356" spans="12:12" x14ac:dyDescent="0.25">
      <c r="L356" s="38"/>
    </row>
    <row r="357" spans="12:12" x14ac:dyDescent="0.25">
      <c r="L357" s="38"/>
    </row>
    <row r="358" spans="12:12" x14ac:dyDescent="0.25">
      <c r="L358" s="38"/>
    </row>
    <row r="359" spans="12:12" x14ac:dyDescent="0.25">
      <c r="L359" s="38"/>
    </row>
    <row r="360" spans="12:12" x14ac:dyDescent="0.25">
      <c r="L360" s="38"/>
    </row>
    <row r="361" spans="12:12" x14ac:dyDescent="0.25">
      <c r="L361" s="38"/>
    </row>
    <row r="362" spans="12:12" ht="30" customHeight="1" x14ac:dyDescent="0.25">
      <c r="L362" s="38"/>
    </row>
    <row r="363" spans="12:12" x14ac:dyDescent="0.25">
      <c r="L363" s="38"/>
    </row>
    <row r="364" spans="12:12" x14ac:dyDescent="0.25">
      <c r="L364" s="38"/>
    </row>
    <row r="365" spans="12:12" ht="27.75" customHeight="1" x14ac:dyDescent="0.25">
      <c r="L365" s="38"/>
    </row>
    <row r="366" spans="12:12" x14ac:dyDescent="0.25">
      <c r="L366" s="38"/>
    </row>
    <row r="372" ht="33.75" customHeight="1" x14ac:dyDescent="0.25"/>
    <row r="377" ht="15" customHeight="1" x14ac:dyDescent="0.25"/>
    <row r="440" spans="1:11" ht="134.25" customHeight="1" x14ac:dyDescent="0.25"/>
    <row r="443" spans="1:11" s="117" customFormat="1" x14ac:dyDescent="0.25">
      <c r="A443"/>
      <c r="D443" s="113"/>
      <c r="F443" s="229"/>
      <c r="J443" s="113"/>
      <c r="K443" s="113"/>
    </row>
    <row r="444" spans="1:11" s="117" customFormat="1" x14ac:dyDescent="0.25">
      <c r="A444"/>
      <c r="D444" s="113"/>
      <c r="F444" s="229"/>
      <c r="J444" s="113"/>
      <c r="K444" s="113"/>
    </row>
    <row r="445" spans="1:11" s="117" customFormat="1" x14ac:dyDescent="0.25">
      <c r="A445"/>
      <c r="D445" s="113"/>
      <c r="F445" s="229"/>
      <c r="J445" s="113"/>
      <c r="K445" s="113"/>
    </row>
    <row r="446" spans="1:11" s="117" customFormat="1" x14ac:dyDescent="0.25">
      <c r="A446"/>
      <c r="D446" s="113"/>
      <c r="F446" s="229"/>
      <c r="J446" s="113"/>
      <c r="K446" s="113"/>
    </row>
    <row r="447" spans="1:11" s="117" customFormat="1" x14ac:dyDescent="0.25">
      <c r="A447"/>
      <c r="D447" s="113"/>
      <c r="F447" s="229"/>
      <c r="J447" s="113"/>
      <c r="K447" s="113"/>
    </row>
    <row r="448" spans="1:11" s="117" customFormat="1" x14ac:dyDescent="0.25">
      <c r="A448"/>
      <c r="D448" s="113"/>
      <c r="F448" s="229"/>
      <c r="J448" s="113"/>
      <c r="K448" s="113"/>
    </row>
    <row r="449" spans="1:11" s="117" customFormat="1" x14ac:dyDescent="0.25">
      <c r="A449"/>
      <c r="D449" s="113"/>
      <c r="F449" s="229"/>
      <c r="J449" s="113"/>
      <c r="K449" s="113"/>
    </row>
    <row r="450" spans="1:11" s="117" customFormat="1" x14ac:dyDescent="0.25">
      <c r="A450"/>
      <c r="D450" s="113"/>
      <c r="F450" s="229"/>
      <c r="J450" s="113"/>
      <c r="K450" s="113"/>
    </row>
    <row r="451" spans="1:11" s="117" customFormat="1" x14ac:dyDescent="0.25">
      <c r="A451"/>
      <c r="D451" s="113"/>
      <c r="F451" s="229"/>
      <c r="J451" s="113"/>
      <c r="K451" s="113"/>
    </row>
    <row r="452" spans="1:11" s="117" customFormat="1" x14ac:dyDescent="0.25">
      <c r="A452"/>
      <c r="D452" s="113"/>
      <c r="F452" s="229"/>
      <c r="J452" s="113"/>
      <c r="K452" s="113"/>
    </row>
    <row r="453" spans="1:11" s="117" customFormat="1" x14ac:dyDescent="0.25">
      <c r="A453"/>
      <c r="D453" s="113"/>
      <c r="F453" s="229"/>
      <c r="J453" s="113"/>
      <c r="K453" s="113"/>
    </row>
    <row r="454" spans="1:11" s="117" customFormat="1" x14ac:dyDescent="0.25">
      <c r="A454"/>
      <c r="D454" s="113"/>
      <c r="F454" s="229"/>
      <c r="J454" s="113"/>
      <c r="K454" s="113"/>
    </row>
    <row r="455" spans="1:11" s="117" customFormat="1" x14ac:dyDescent="0.25">
      <c r="A455"/>
      <c r="D455" s="113"/>
      <c r="F455" s="229"/>
      <c r="J455" s="113"/>
      <c r="K455" s="113"/>
    </row>
    <row r="456" spans="1:11" s="117" customFormat="1" x14ac:dyDescent="0.25">
      <c r="A456"/>
      <c r="D456" s="113"/>
      <c r="F456" s="229"/>
      <c r="J456" s="113"/>
      <c r="K456" s="113"/>
    </row>
    <row r="457" spans="1:11" s="117" customFormat="1" x14ac:dyDescent="0.25">
      <c r="A457"/>
      <c r="D457" s="113"/>
      <c r="F457" s="229"/>
      <c r="J457" s="113"/>
      <c r="K457" s="113"/>
    </row>
    <row r="458" spans="1:11" s="117" customFormat="1" x14ac:dyDescent="0.25">
      <c r="A458"/>
      <c r="D458" s="113"/>
      <c r="F458" s="229"/>
      <c r="J458" s="113"/>
      <c r="K458" s="113"/>
    </row>
    <row r="459" spans="1:11" s="117" customFormat="1" x14ac:dyDescent="0.25">
      <c r="A459"/>
      <c r="D459" s="113"/>
      <c r="F459" s="229"/>
      <c r="J459" s="113"/>
      <c r="K459" s="113"/>
    </row>
    <row r="460" spans="1:11" s="117" customFormat="1" x14ac:dyDescent="0.25">
      <c r="A460"/>
      <c r="D460" s="113"/>
      <c r="F460" s="229"/>
      <c r="J460" s="113"/>
      <c r="K460" s="113"/>
    </row>
    <row r="461" spans="1:11" s="117" customFormat="1" x14ac:dyDescent="0.25">
      <c r="A461"/>
      <c r="D461" s="113"/>
      <c r="F461" s="229"/>
      <c r="J461" s="113"/>
      <c r="K461" s="113"/>
    </row>
    <row r="462" spans="1:11" s="117" customFormat="1" x14ac:dyDescent="0.25">
      <c r="A462"/>
      <c r="D462" s="113"/>
      <c r="F462" s="229"/>
      <c r="J462" s="113"/>
      <c r="K462" s="113"/>
    </row>
    <row r="463" spans="1:11" s="117" customFormat="1" x14ac:dyDescent="0.25">
      <c r="A463"/>
      <c r="D463" s="113"/>
      <c r="F463" s="229"/>
      <c r="J463" s="113"/>
      <c r="K463" s="113"/>
    </row>
    <row r="464" spans="1:11" s="117" customFormat="1" x14ac:dyDescent="0.25">
      <c r="A464"/>
      <c r="D464" s="113"/>
      <c r="F464" s="229"/>
      <c r="J464" s="113"/>
      <c r="K464" s="113"/>
    </row>
    <row r="465" spans="1:11" s="117" customFormat="1" x14ac:dyDescent="0.25">
      <c r="A465"/>
      <c r="D465" s="113"/>
      <c r="F465" s="229"/>
      <c r="J465" s="113"/>
      <c r="K465" s="113"/>
    </row>
    <row r="466" spans="1:11" s="117" customFormat="1" x14ac:dyDescent="0.25">
      <c r="A466"/>
      <c r="D466" s="113"/>
      <c r="F466" s="229"/>
      <c r="J466" s="113"/>
      <c r="K466" s="113"/>
    </row>
    <row r="467" spans="1:11" s="117" customFormat="1" x14ac:dyDescent="0.25">
      <c r="A467"/>
      <c r="D467" s="113"/>
      <c r="F467" s="229"/>
      <c r="J467" s="113"/>
      <c r="K467" s="113"/>
    </row>
    <row r="468" spans="1:11" s="117" customFormat="1" x14ac:dyDescent="0.25">
      <c r="A468"/>
      <c r="D468" s="113"/>
      <c r="F468" s="229"/>
      <c r="J468" s="113"/>
      <c r="K468" s="113"/>
    </row>
    <row r="469" spans="1:11" s="117" customFormat="1" x14ac:dyDescent="0.25">
      <c r="A469"/>
      <c r="D469" s="113"/>
      <c r="F469" s="229"/>
      <c r="J469" s="113"/>
      <c r="K469" s="113"/>
    </row>
    <row r="470" spans="1:11" s="117" customFormat="1" x14ac:dyDescent="0.25">
      <c r="A470"/>
      <c r="D470" s="113"/>
      <c r="F470" s="229"/>
      <c r="J470" s="113"/>
      <c r="K470" s="113"/>
    </row>
    <row r="471" spans="1:11" s="117" customFormat="1" x14ac:dyDescent="0.25">
      <c r="A471"/>
      <c r="D471" s="113"/>
      <c r="F471" s="229"/>
      <c r="J471" s="113"/>
      <c r="K471" s="113"/>
    </row>
    <row r="472" spans="1:11" s="117" customFormat="1" x14ac:dyDescent="0.25">
      <c r="A472"/>
      <c r="D472" s="113"/>
      <c r="F472" s="229"/>
      <c r="J472" s="113"/>
      <c r="K472" s="113"/>
    </row>
    <row r="473" spans="1:11" s="117" customFormat="1" x14ac:dyDescent="0.25">
      <c r="A473"/>
      <c r="D473" s="113"/>
      <c r="F473" s="229"/>
      <c r="J473" s="113"/>
      <c r="K473" s="113"/>
    </row>
    <row r="474" spans="1:11" s="117" customFormat="1" x14ac:dyDescent="0.25">
      <c r="A474"/>
      <c r="D474" s="113"/>
      <c r="F474" s="229"/>
      <c r="J474" s="113"/>
      <c r="K474" s="113"/>
    </row>
    <row r="475" spans="1:11" s="117" customFormat="1" x14ac:dyDescent="0.25">
      <c r="A475"/>
      <c r="D475" s="113"/>
      <c r="F475" s="229"/>
      <c r="J475" s="113"/>
      <c r="K475" s="113"/>
    </row>
    <row r="476" spans="1:11" s="117" customFormat="1" x14ac:dyDescent="0.25">
      <c r="A476"/>
      <c r="D476" s="113"/>
      <c r="F476" s="229"/>
      <c r="J476" s="113"/>
      <c r="K476" s="113"/>
    </row>
    <row r="477" spans="1:11" s="117" customFormat="1" x14ac:dyDescent="0.25">
      <c r="A477"/>
      <c r="D477" s="113"/>
      <c r="F477" s="229"/>
      <c r="J477" s="113"/>
      <c r="K477" s="113"/>
    </row>
    <row r="478" spans="1:11" s="117" customFormat="1" x14ac:dyDescent="0.25">
      <c r="A478"/>
      <c r="D478" s="113"/>
      <c r="F478" s="229"/>
      <c r="J478" s="113"/>
      <c r="K478" s="113"/>
    </row>
    <row r="479" spans="1:11" s="117" customFormat="1" x14ac:dyDescent="0.25">
      <c r="A479"/>
      <c r="D479" s="113"/>
      <c r="F479" s="229"/>
      <c r="J479" s="113"/>
      <c r="K479" s="113"/>
    </row>
    <row r="480" spans="1:11" s="117" customFormat="1" x14ac:dyDescent="0.25">
      <c r="A480"/>
      <c r="D480" s="113"/>
      <c r="F480" s="229"/>
      <c r="J480" s="113"/>
      <c r="K480" s="113"/>
    </row>
    <row r="481" spans="1:11" s="117" customFormat="1" x14ac:dyDescent="0.25">
      <c r="A481"/>
      <c r="D481" s="113"/>
      <c r="F481" s="229"/>
      <c r="J481" s="113"/>
      <c r="K481" s="113"/>
    </row>
    <row r="482" spans="1:11" s="117" customFormat="1" x14ac:dyDescent="0.25">
      <c r="A482"/>
      <c r="D482" s="113"/>
      <c r="F482" s="229"/>
      <c r="J482" s="113"/>
      <c r="K482" s="113"/>
    </row>
    <row r="483" spans="1:11" s="117" customFormat="1" x14ac:dyDescent="0.25">
      <c r="A483"/>
      <c r="D483" s="113"/>
      <c r="F483" s="229"/>
      <c r="J483" s="113"/>
      <c r="K483" s="113"/>
    </row>
    <row r="484" spans="1:11" s="117" customFormat="1" x14ac:dyDescent="0.25">
      <c r="A484"/>
      <c r="D484" s="113"/>
      <c r="F484" s="229"/>
      <c r="J484" s="113"/>
      <c r="K484" s="113"/>
    </row>
    <row r="485" spans="1:11" s="117" customFormat="1" x14ac:dyDescent="0.25">
      <c r="A485"/>
      <c r="D485" s="113"/>
      <c r="F485" s="229"/>
      <c r="J485" s="113"/>
      <c r="K485" s="113"/>
    </row>
    <row r="486" spans="1:11" s="117" customFormat="1" x14ac:dyDescent="0.25">
      <c r="A486"/>
      <c r="D486" s="113"/>
      <c r="F486" s="229"/>
      <c r="J486" s="113"/>
      <c r="K486" s="113"/>
    </row>
    <row r="487" spans="1:11" s="117" customFormat="1" x14ac:dyDescent="0.25">
      <c r="A487"/>
      <c r="D487" s="113"/>
      <c r="F487" s="229"/>
      <c r="J487" s="113"/>
      <c r="K487" s="113"/>
    </row>
    <row r="488" spans="1:11" s="117" customFormat="1" x14ac:dyDescent="0.25">
      <c r="A488"/>
      <c r="D488" s="113"/>
      <c r="F488" s="229"/>
      <c r="J488" s="113"/>
      <c r="K488" s="113"/>
    </row>
    <row r="489" spans="1:11" s="117" customFormat="1" x14ac:dyDescent="0.25">
      <c r="A489"/>
      <c r="D489" s="113"/>
      <c r="F489" s="229"/>
      <c r="J489" s="113"/>
      <c r="K489" s="113"/>
    </row>
    <row r="490" spans="1:11" s="117" customFormat="1" x14ac:dyDescent="0.25">
      <c r="A490"/>
      <c r="D490" s="113"/>
      <c r="F490" s="229"/>
      <c r="J490" s="113"/>
      <c r="K490" s="113"/>
    </row>
    <row r="491" spans="1:11" s="117" customFormat="1" x14ac:dyDescent="0.25">
      <c r="A491"/>
      <c r="D491" s="113"/>
      <c r="F491" s="229"/>
      <c r="J491" s="113"/>
      <c r="K491" s="113"/>
    </row>
    <row r="492" spans="1:11" s="117" customFormat="1" x14ac:dyDescent="0.25">
      <c r="A492"/>
      <c r="D492" s="113"/>
      <c r="F492" s="229"/>
      <c r="J492" s="113"/>
      <c r="K492" s="113"/>
    </row>
    <row r="493" spans="1:11" s="117" customFormat="1" x14ac:dyDescent="0.25">
      <c r="A493"/>
      <c r="D493" s="113"/>
      <c r="F493" s="229"/>
      <c r="J493" s="113"/>
      <c r="K493" s="113"/>
    </row>
    <row r="494" spans="1:11" s="117" customFormat="1" x14ac:dyDescent="0.25">
      <c r="A494"/>
      <c r="D494" s="113"/>
      <c r="F494" s="229"/>
      <c r="J494" s="113"/>
      <c r="K494" s="113"/>
    </row>
    <row r="495" spans="1:11" s="117" customFormat="1" x14ac:dyDescent="0.25">
      <c r="A495"/>
      <c r="D495" s="113"/>
      <c r="F495" s="229"/>
      <c r="J495" s="113"/>
      <c r="K495" s="113"/>
    </row>
    <row r="496" spans="1:11" s="117" customFormat="1" x14ac:dyDescent="0.25">
      <c r="A496"/>
      <c r="D496" s="113"/>
      <c r="F496" s="229"/>
      <c r="J496" s="113"/>
      <c r="K496" s="113"/>
    </row>
    <row r="497" spans="1:11" s="117" customFormat="1" x14ac:dyDescent="0.25">
      <c r="A497"/>
      <c r="D497" s="113"/>
      <c r="F497" s="229"/>
      <c r="J497" s="113"/>
      <c r="K497" s="113"/>
    </row>
    <row r="498" spans="1:11" s="117" customFormat="1" x14ac:dyDescent="0.25">
      <c r="A498"/>
      <c r="D498" s="113"/>
      <c r="F498" s="229"/>
      <c r="J498" s="113"/>
      <c r="K498" s="113"/>
    </row>
    <row r="499" spans="1:11" s="117" customFormat="1" x14ac:dyDescent="0.25">
      <c r="A499"/>
      <c r="D499" s="113"/>
      <c r="F499" s="229"/>
      <c r="J499" s="113"/>
      <c r="K499" s="113"/>
    </row>
    <row r="500" spans="1:11" s="117" customFormat="1" x14ac:dyDescent="0.25">
      <c r="A500"/>
      <c r="D500" s="113"/>
      <c r="F500" s="229"/>
      <c r="J500" s="113"/>
      <c r="K500" s="113"/>
    </row>
    <row r="501" spans="1:11" s="117" customFormat="1" x14ac:dyDescent="0.25">
      <c r="A501"/>
      <c r="D501" s="113"/>
      <c r="F501" s="229"/>
      <c r="J501" s="113"/>
      <c r="K501" s="113"/>
    </row>
    <row r="502" spans="1:11" s="117" customFormat="1" x14ac:dyDescent="0.25">
      <c r="A502"/>
      <c r="D502" s="113"/>
      <c r="F502" s="229"/>
      <c r="J502" s="113"/>
      <c r="K502" s="113"/>
    </row>
    <row r="503" spans="1:11" s="117" customFormat="1" x14ac:dyDescent="0.25">
      <c r="A503"/>
      <c r="D503" s="113"/>
      <c r="F503" s="229"/>
      <c r="J503" s="113"/>
      <c r="K503" s="113"/>
    </row>
    <row r="504" spans="1:11" s="117" customFormat="1" x14ac:dyDescent="0.25">
      <c r="A504"/>
      <c r="D504" s="113"/>
      <c r="F504" s="229"/>
      <c r="J504" s="113"/>
      <c r="K504" s="113"/>
    </row>
    <row r="505" spans="1:11" s="117" customFormat="1" x14ac:dyDescent="0.25">
      <c r="A505"/>
      <c r="D505" s="113"/>
      <c r="F505" s="229"/>
      <c r="J505" s="113"/>
      <c r="K505" s="113"/>
    </row>
    <row r="506" spans="1:11" s="117" customFormat="1" x14ac:dyDescent="0.25">
      <c r="A506"/>
      <c r="D506" s="113"/>
      <c r="F506" s="229"/>
      <c r="J506" s="113"/>
      <c r="K506" s="113"/>
    </row>
    <row r="507" spans="1:11" s="117" customFormat="1" x14ac:dyDescent="0.25">
      <c r="A507"/>
      <c r="D507" s="113"/>
      <c r="F507" s="229"/>
      <c r="J507" s="113"/>
      <c r="K507" s="113"/>
    </row>
    <row r="508" spans="1:11" s="117" customFormat="1" x14ac:dyDescent="0.25">
      <c r="A508"/>
      <c r="D508" s="113"/>
      <c r="F508" s="229"/>
      <c r="J508" s="113"/>
      <c r="K508" s="113"/>
    </row>
    <row r="509" spans="1:11" s="117" customFormat="1" x14ac:dyDescent="0.25">
      <c r="A509"/>
      <c r="D509" s="113"/>
      <c r="F509" s="229"/>
      <c r="J509" s="113"/>
      <c r="K509" s="113"/>
    </row>
    <row r="510" spans="1:11" s="117" customFormat="1" x14ac:dyDescent="0.25">
      <c r="A510"/>
      <c r="D510" s="113"/>
      <c r="F510" s="229"/>
      <c r="J510" s="113"/>
      <c r="K510" s="113"/>
    </row>
    <row r="511" spans="1:11" s="117" customFormat="1" x14ac:dyDescent="0.25">
      <c r="A511"/>
      <c r="D511" s="113"/>
      <c r="F511" s="229"/>
      <c r="J511" s="113"/>
      <c r="K511" s="113"/>
    </row>
    <row r="512" spans="1:11" s="117" customFormat="1" x14ac:dyDescent="0.25">
      <c r="A512"/>
      <c r="D512" s="113"/>
      <c r="F512" s="229"/>
      <c r="J512" s="113"/>
      <c r="K512" s="113"/>
    </row>
    <row r="513" spans="1:11" s="117" customFormat="1" x14ac:dyDescent="0.25">
      <c r="A513"/>
      <c r="D513" s="113"/>
      <c r="F513" s="229"/>
      <c r="J513" s="113"/>
      <c r="K513" s="113"/>
    </row>
    <row r="514" spans="1:11" s="117" customFormat="1" x14ac:dyDescent="0.25">
      <c r="A514"/>
      <c r="D514" s="113"/>
      <c r="F514" s="229"/>
      <c r="J514" s="113"/>
      <c r="K514" s="113"/>
    </row>
    <row r="515" spans="1:11" s="117" customFormat="1" x14ac:dyDescent="0.25">
      <c r="A515"/>
      <c r="D515" s="113"/>
      <c r="F515" s="229"/>
      <c r="J515" s="113"/>
      <c r="K515" s="113"/>
    </row>
    <row r="516" spans="1:11" s="117" customFormat="1" x14ac:dyDescent="0.25">
      <c r="A516"/>
      <c r="D516" s="113"/>
      <c r="F516" s="229"/>
      <c r="J516" s="113"/>
      <c r="K516" s="113"/>
    </row>
    <row r="517" spans="1:11" s="117" customFormat="1" x14ac:dyDescent="0.25">
      <c r="A517"/>
      <c r="D517" s="113"/>
      <c r="F517" s="229"/>
      <c r="J517" s="113"/>
      <c r="K517" s="113"/>
    </row>
    <row r="518" spans="1:11" s="117" customFormat="1" x14ac:dyDescent="0.25">
      <c r="A518"/>
      <c r="D518" s="113"/>
      <c r="F518" s="229"/>
      <c r="J518" s="113"/>
      <c r="K518" s="113"/>
    </row>
    <row r="519" spans="1:11" s="117" customFormat="1" ht="13.5" customHeight="1" x14ac:dyDescent="0.25">
      <c r="A519"/>
      <c r="D519" s="113"/>
      <c r="F519" s="229"/>
      <c r="J519" s="113"/>
      <c r="K519" s="113"/>
    </row>
    <row r="520" spans="1:11" s="117" customFormat="1" hidden="1" x14ac:dyDescent="0.25">
      <c r="A520"/>
      <c r="D520" s="113"/>
      <c r="F520" s="229"/>
      <c r="J520" s="113"/>
      <c r="K520" s="113"/>
    </row>
    <row r="521" spans="1:11" s="117" customFormat="1" hidden="1" x14ac:dyDescent="0.25">
      <c r="A521"/>
      <c r="D521" s="113"/>
      <c r="F521" s="229"/>
      <c r="J521" s="113"/>
      <c r="K521" s="113"/>
    </row>
    <row r="522" spans="1:11" s="117" customFormat="1" x14ac:dyDescent="0.25">
      <c r="A522"/>
      <c r="D522" s="113"/>
      <c r="F522" s="229"/>
      <c r="J522" s="113"/>
      <c r="K522" s="113"/>
    </row>
    <row r="523" spans="1:11" ht="33" customHeight="1" x14ac:dyDescent="0.25"/>
    <row r="524" spans="1:11" ht="21.75" customHeight="1" x14ac:dyDescent="0.25"/>
    <row r="531" spans="1:11" s="31" customFormat="1" x14ac:dyDescent="0.25">
      <c r="A531"/>
      <c r="B531" s="117"/>
      <c r="C531" s="117"/>
      <c r="D531" s="113"/>
      <c r="E531" s="117"/>
      <c r="F531" s="229"/>
      <c r="G531" s="117"/>
      <c r="H531" s="117"/>
      <c r="I531" s="117"/>
      <c r="J531" s="113"/>
      <c r="K531" s="113"/>
    </row>
    <row r="532" spans="1:11" s="31" customFormat="1" x14ac:dyDescent="0.25">
      <c r="A532"/>
      <c r="B532" s="117"/>
      <c r="C532" s="117"/>
      <c r="D532" s="113"/>
      <c r="E532" s="117"/>
      <c r="F532" s="229"/>
      <c r="G532" s="117"/>
      <c r="H532" s="117"/>
      <c r="I532" s="117"/>
      <c r="J532" s="113"/>
      <c r="K532" s="113"/>
    </row>
  </sheetData>
  <mergeCells count="15">
    <mergeCell ref="F213:G213"/>
    <mergeCell ref="F216:G216"/>
    <mergeCell ref="K11:K12"/>
    <mergeCell ref="F210:G210"/>
    <mergeCell ref="A13:A207"/>
    <mergeCell ref="K205:K206"/>
    <mergeCell ref="D5:H5"/>
    <mergeCell ref="B6:J6"/>
    <mergeCell ref="B7:J7"/>
    <mergeCell ref="C8:I8"/>
    <mergeCell ref="A11:A12"/>
    <mergeCell ref="B11:B12"/>
    <mergeCell ref="C11:E11"/>
    <mergeCell ref="F11:F12"/>
    <mergeCell ref="G11:J11"/>
  </mergeCells>
  <pageMargins left="0.11811023622047245" right="0.11811023622047245" top="0.15748031496062992" bottom="0.15748031496062992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Диаграммы</vt:lpstr>
      </vt:variant>
      <vt:variant>
        <vt:i4>1</vt:i4>
      </vt:variant>
    </vt:vector>
  </HeadingPairs>
  <TitlesOfParts>
    <vt:vector size="9" baseType="lpstr">
      <vt:lpstr>На стенд І квартал</vt:lpstr>
      <vt:lpstr>На стенд ІІ квартал_по приходу</vt:lpstr>
      <vt:lpstr>На стенд ІІ квартал с остатками</vt:lpstr>
      <vt:lpstr>На стенд ІІ кварт по приходу2 </vt:lpstr>
      <vt:lpstr>На стенд ІІІ кварт по приходу</vt:lpstr>
      <vt:lpstr>На стенд ІІІ кварт по прихоl_пр</vt:lpstr>
      <vt:lpstr>На стенд за 2018 рік_правильній</vt:lpstr>
      <vt:lpstr>На стенд за1кв 2019 рік</vt:lpstr>
      <vt:lpstr>Диаграмма1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2018-04-05T08:18:30Z</cp:lastPrinted>
  <dcterms:created xsi:type="dcterms:W3CDTF">2006-09-16T00:00:00Z</dcterms:created>
  <dcterms:modified xsi:type="dcterms:W3CDTF">2019-04-08T09:33:30Z</dcterms:modified>
</cp:coreProperties>
</file>